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790" windowHeight="8445" tabRatio="656" activeTab="0"/>
  </bookViews>
  <sheets>
    <sheet name="Overall (Graphs)" sheetId="1" r:id="rId1"/>
    <sheet name="Cost Graphs" sheetId="2" r:id="rId2"/>
    <sheet name="Planned vs Reactive Maintenance" sheetId="3" r:id="rId3"/>
    <sheet name="Cost" sheetId="4" r:id="rId4"/>
    <sheet name="Quality" sheetId="5" r:id="rId5"/>
    <sheet name="Delivery" sheetId="6" r:id="rId6"/>
    <sheet name="Corporate Responsibility" sheetId="7" r:id="rId7"/>
    <sheet name="Other" sheetId="8" r:id="rId8"/>
    <sheet name="Client Responsibilities" sheetId="9" r:id="rId9"/>
  </sheets>
  <definedNames/>
  <calcPr fullCalcOnLoad="1"/>
</workbook>
</file>

<file path=xl/sharedStrings.xml><?xml version="1.0" encoding="utf-8"?>
<sst xmlns="http://schemas.openxmlformats.org/spreadsheetml/2006/main" count="436" uniqueCount="123">
  <si>
    <t>Year 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</si>
  <si>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</si>
  <si>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</si>
  <si>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</si>
  <si>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</si>
  <si>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</si>
  <si>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</si>
  <si>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</si>
  <si>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</si>
  <si>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</si>
  <si>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</si>
  <si>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</si>
  <si>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</si>
  <si>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QSM South - PPM Defects (Binary)</t>
  </si>
  <si>
    <t>Score</t>
  </si>
  <si>
    <t>Out of</t>
  </si>
  <si>
    <t>&gt;</t>
  </si>
  <si>
    <t>Partnered CQM Audits Pass - PPM Defects</t>
  </si>
  <si>
    <t>Mitie CQM Audits Pass - PPM Defects</t>
  </si>
  <si>
    <t>Planned Maintenance - Out of Hours (OK)</t>
  </si>
  <si>
    <t>Reactive Maintenance - Out of Hours</t>
  </si>
  <si>
    <t>Planned Maintenance - Not Out of Hours but with Permission</t>
  </si>
  <si>
    <t>Planned Maintenance - Not Out of Hours No Permission</t>
  </si>
  <si>
    <t>Reactive Maintenance - Not Out of Hours</t>
  </si>
  <si>
    <t>Awaiting Reset*</t>
  </si>
  <si>
    <t>OTIF Reactive &lt; 2 hrs - PPM Defects</t>
  </si>
  <si>
    <t>OTIF Pax Spills &lt; 5 mins - PPM Defects</t>
  </si>
  <si>
    <t>OTIF Non Pax Spills &lt; 20 mins - PPM Defects</t>
  </si>
  <si>
    <t>&lt;</t>
  </si>
  <si>
    <t>of Jobs Cancelled - PPM Defects (Binary)</t>
  </si>
  <si>
    <t>OTIF All KPIs by xxth Month - PPM Defects (Binary)</t>
  </si>
  <si>
    <t>Average of Delivery KPIs - Defects PPM</t>
  </si>
  <si>
    <t>The binary nature of the "OTIF ALL KPIS by xxth Month" metric, means that the supplier's score is penalised heavily if their KPI reports aren't delivered on time.</t>
  </si>
  <si>
    <t>Hence, by modifying the "% of jobs cancelled" KPI to be binary rather than proportional, exceeding the tolerance for cancleled jobs is penalised heavily.</t>
  </si>
  <si>
    <t>Note - the "% of Jobs Cancelled" is an additional tolerance band for the supplier. Jobs which are likely to run late, can be cancelled rather than counted as defective.</t>
  </si>
  <si>
    <t>Number of Near Miss Incidents</t>
  </si>
  <si>
    <t>Number of Non-Reportable Incidents</t>
  </si>
  <si>
    <t>Number of RIDDOR Incidents</t>
  </si>
  <si>
    <t>Cumulative Number of Hours Worked Before RIDDOR Incident</t>
  </si>
  <si>
    <t>No of RIDDOR Incidents - PPM Defects (Binary)*</t>
  </si>
  <si>
    <t>Personnel Fire Trained - PPM Defects</t>
  </si>
  <si>
    <t>Personnel Induction Trained - PPM Defects</t>
  </si>
  <si>
    <t>Employee H&amp;S Training Plans Up To Date - PPM Defects</t>
  </si>
  <si>
    <t>All Chemicals Stored Per Instructions - PPM Defects</t>
  </si>
  <si>
    <t>COSHH Data &amp; Risk Assessments Up To Date - PPM Defects</t>
  </si>
  <si>
    <t>Env'l Impact Plan Register + Impr't Plans - PPM Defects (Binary)</t>
  </si>
  <si>
    <t>Accident Reporting System - up to dat - PPM Defects (Binary)</t>
  </si>
  <si>
    <t>* Note. Target is Zero. Although the mathematics are wrong, i.e. if there are 2 RIDDOR incidents, then 2,000,000 PPM</t>
  </si>
  <si>
    <t>Average of CR KPIs - Defects PPM</t>
  </si>
  <si>
    <t>Average of Other KPIs - Defects PPM</t>
  </si>
  <si>
    <t>Average of KPIs on BAA - Defects PPM</t>
  </si>
  <si>
    <t>Total Direct Labour Capacity Man Hours (or Cost) Year N-1</t>
  </si>
  <si>
    <t>Total Direct Labour Man Hours (or Cost) Year N</t>
  </si>
  <si>
    <t>Total Indirect Labour Capacity Man Hours (or Cost) Year N-1</t>
  </si>
  <si>
    <t>Indirect Labour Man Hours (or Cost) Available Year N</t>
  </si>
  <si>
    <t>Total Material Cost Year N-1</t>
  </si>
  <si>
    <t>Total Overhead Cost Year N</t>
  </si>
  <si>
    <t>Total Material Cost Year N</t>
  </si>
  <si>
    <t>Total Overhead Cost Year N-1</t>
  </si>
  <si>
    <t>x Cum. Total Cost Year N-1</t>
  </si>
  <si>
    <t>Target Cost - PPM Defects (Binary)</t>
  </si>
  <si>
    <t>Average of Cost KPIs - Defects PPM</t>
  </si>
  <si>
    <r>
      <t xml:space="preserve">Asset Group A </t>
    </r>
    <r>
      <rPr>
        <b/>
        <sz val="10"/>
        <color indexed="10"/>
        <rFont val="Arial"/>
        <family val="2"/>
      </rPr>
      <t>ALL</t>
    </r>
  </si>
  <si>
    <t>Direct Labour Man Hours (or Cost Booked)</t>
  </si>
  <si>
    <t>Cost or Man Hrs Planned - Asset Group A (All)</t>
  </si>
  <si>
    <t>Cost or Man Hrs Reactuve - Asset Group A (All)</t>
  </si>
  <si>
    <t>(excludes "Awaiting Reset")</t>
  </si>
  <si>
    <t>Direct Labour Man Hours (or Cost Booked)/Asset - Group A (All)</t>
  </si>
  <si>
    <t>No. of Assets in Group</t>
  </si>
  <si>
    <r>
      <t xml:space="preserve">Asset Group B </t>
    </r>
    <r>
      <rPr>
        <b/>
        <sz val="10"/>
        <color indexed="10"/>
        <rFont val="Arial"/>
        <family val="2"/>
      </rPr>
      <t>ALL</t>
    </r>
  </si>
  <si>
    <t>Cost or Man Hrs Planned - Asset Group B (All)</t>
  </si>
  <si>
    <t>Cost or Man Hrs Reactuve - Asset Group B (All)</t>
  </si>
  <si>
    <t>Direct Labour Man Hours (or Cost Booked)/Asset - Group B (All)</t>
  </si>
  <si>
    <t>Spare Capacity</t>
  </si>
  <si>
    <t>Balance of Unallocated Direct Labour Man Hours (or Cost)</t>
  </si>
  <si>
    <t>Asset (or Elapsed) Time</t>
  </si>
  <si>
    <t xml:space="preserve">No. of Assets in Group   </t>
  </si>
  <si>
    <t>Asset Group A &lt; 20Yrs Old</t>
  </si>
  <si>
    <t>Planned to Be  Available</t>
  </si>
  <si>
    <t>Asset Downtime PPM</t>
  </si>
  <si>
    <t>Direct Labour Man Hours (or Cost Booked) - Asset Group A &lt; 20 Yrs Old</t>
  </si>
  <si>
    <t>Direct Labour Man Hours (or Cost Booked) - Asset Group A &lt;20 Yrs Old</t>
  </si>
  <si>
    <t xml:space="preserve">Planned Availability Per Asset  </t>
  </si>
  <si>
    <t>hrs per day</t>
  </si>
  <si>
    <t>Days Per Month</t>
  </si>
  <si>
    <t>Cost or Man Hrs Planned - Asset Group A &lt; 20 Yrs Old</t>
  </si>
  <si>
    <t>Cost or Man Hrs Reactive - Asset Group A &lt; 20 Yrs Old</t>
  </si>
  <si>
    <t>Direct Labour Man Hours (or Cost Booked)/Asset - Group A &lt; 20 Yrs Old</t>
  </si>
  <si>
    <r>
      <t xml:space="preserve">  Asset Group A </t>
    </r>
    <r>
      <rPr>
        <b/>
        <sz val="10"/>
        <color indexed="10"/>
        <rFont val="Arial"/>
        <family val="2"/>
      </rPr>
      <t>ALL</t>
    </r>
    <r>
      <rPr>
        <b/>
        <sz val="10"/>
        <rFont val="Arial"/>
        <family val="2"/>
      </rPr>
      <t xml:space="preserve"> Downtime - PPM Defects (Binary)</t>
    </r>
  </si>
  <si>
    <r>
      <t xml:space="preserve">  Asset Group A </t>
    </r>
    <r>
      <rPr>
        <b/>
        <sz val="10"/>
        <color indexed="10"/>
        <rFont val="Arial"/>
        <family val="2"/>
      </rPr>
      <t>ALL</t>
    </r>
    <r>
      <rPr>
        <b/>
        <sz val="10"/>
        <rFont val="Arial"/>
        <family val="2"/>
      </rPr>
      <t xml:space="preserve"> Downtime </t>
    </r>
  </si>
  <si>
    <r>
      <t xml:space="preserve">  Asset Group B </t>
    </r>
    <r>
      <rPr>
        <b/>
        <sz val="10"/>
        <color indexed="10"/>
        <rFont val="Arial"/>
        <family val="2"/>
      </rPr>
      <t>ALL</t>
    </r>
    <r>
      <rPr>
        <b/>
        <sz val="10"/>
        <rFont val="Arial"/>
        <family val="2"/>
      </rPr>
      <t xml:space="preserve"> Downtime </t>
    </r>
  </si>
  <si>
    <r>
      <t xml:space="preserve">  Asset Group B </t>
    </r>
    <r>
      <rPr>
        <b/>
        <sz val="10"/>
        <color indexed="10"/>
        <rFont val="Arial"/>
        <family val="2"/>
      </rPr>
      <t>ALL</t>
    </r>
    <r>
      <rPr>
        <b/>
        <sz val="10"/>
        <rFont val="Arial"/>
        <family val="2"/>
      </rPr>
      <t xml:space="preserve"> Downtime - PPM Defects (Binary)</t>
    </r>
  </si>
  <si>
    <t xml:space="preserve">Average of Quality KPIs - Defects PPM  </t>
  </si>
  <si>
    <t>Overall Average of All Defect PPM KPIs</t>
  </si>
  <si>
    <t>Cumulative Total Hours (or Cost) Year N</t>
  </si>
  <si>
    <t>Cumulative Total Hours (or Cost) Year N-1</t>
  </si>
  <si>
    <t>Asset Group A &gt; 20Yrs Old</t>
  </si>
  <si>
    <t>Direct Labour Man Hours (or Cost Booked) - Asset Group A &gt;20 Yrs Old</t>
  </si>
  <si>
    <t>Cost or Man Hrs Planned - Asset Group A &gt; 20 Yrs Old</t>
  </si>
  <si>
    <t>Cost or Man Hrs Reactive - Asset Group A &gt; 20 Yrs Old</t>
  </si>
  <si>
    <t>Direct Labour Man Hours (or Cost Booked) - Asset Group A &gt; 20 Yrs Old</t>
  </si>
  <si>
    <t>Direct Labour Man Hours (or Cost Booked)/Asset - Group A &gt; 20 Yrs Old</t>
  </si>
  <si>
    <t>Asset Group B &lt; 20Yrs Old</t>
  </si>
  <si>
    <t>Cost or Man Hrs Planned - Asset Group B &lt; 20 Yrs Old</t>
  </si>
  <si>
    <t>Cost or Man Hrs Reactive - Asset Group B &lt; 20 Yrs Old</t>
  </si>
  <si>
    <t>Direct Labour Man Hours (or Cost Booked)/Asset - Group B &lt; 20 Yrs Old</t>
  </si>
  <si>
    <t>Direct Labour Man Hours (or Cost Booked) - Asset Group B &gt;20 Yrs Old</t>
  </si>
  <si>
    <t>Cost or Man Hrs Planned - Asset Group B &gt; 20 Yrs Old</t>
  </si>
  <si>
    <t>Cost or Man Hrs Reactive - Asset Group B &gt; 20 Yrs Old</t>
  </si>
  <si>
    <t>Direct Labour Man Hours (or Cost Booked)/Asset - Group B &gt; 20 Yrs Old</t>
  </si>
  <si>
    <t>Direct Labour Man Hours (or Cost Booked) - Asset Group B &lt;20 Yrs Old</t>
  </si>
  <si>
    <t>of Work Orders Approved [by client] in &lt; 2 working days</t>
  </si>
  <si>
    <t>Client's Responsibilities</t>
  </si>
  <si>
    <t>Supplier Relationshp Management</t>
  </si>
  <si>
    <t>Overall</t>
  </si>
  <si>
    <t>Supplier Relationship Management</t>
  </si>
  <si>
    <t>Cost or Time</t>
  </si>
  <si>
    <t>Quality</t>
  </si>
  <si>
    <t>Delivery</t>
  </si>
  <si>
    <t>No. of Personnel (not FTEs) Employed at [               ]</t>
  </si>
  <si>
    <t>Corporate Responsibility</t>
  </si>
  <si>
    <t>Other</t>
  </si>
  <si>
    <t>of Employees have passes - PPM Defects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</si>
</sst>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%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.25"/>
      <name val="Arial"/>
      <family val="0"/>
    </font>
    <font>
      <sz val="9.5"/>
      <name val="Arial"/>
      <family val="2"/>
    </font>
    <font>
      <sz val="10.25"/>
      <name val="Arial"/>
      <family val="0"/>
    </font>
    <font>
      <b/>
      <sz val="13.25"/>
      <name val="Arial"/>
      <family val="2"/>
    </font>
    <font>
      <b/>
      <sz val="9.5"/>
      <name val="Arial"/>
      <family val="2"/>
    </font>
    <font>
      <b/>
      <sz val="9.75"/>
      <name val="Arial"/>
      <family val="2"/>
    </font>
    <font>
      <sz val="9.75"/>
      <name val="Arial"/>
      <family val="0"/>
    </font>
    <font>
      <sz val="8.5"/>
      <name val="Arial"/>
      <family val="2"/>
    </font>
    <font>
      <sz val="11.25"/>
      <name val="Arial"/>
      <family val="0"/>
    </font>
    <font>
      <sz val="17.25"/>
      <name val="Arial"/>
      <family val="0"/>
    </font>
    <font>
      <b/>
      <sz val="11.75"/>
      <name val="Arial"/>
      <family val="0"/>
    </font>
    <font>
      <b/>
      <sz val="16"/>
      <name val="Arial"/>
      <family val="0"/>
    </font>
    <font>
      <b/>
      <sz val="11.5"/>
      <name val="Arial"/>
      <family val="2"/>
    </font>
    <font>
      <b/>
      <sz val="11.25"/>
      <name val="Arial"/>
      <family val="2"/>
    </font>
    <font>
      <sz val="8.75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9" fontId="0" fillId="2" borderId="8" xfId="0" applyNumberFormat="1" applyFill="1" applyBorder="1" applyAlignment="1">
      <alignment horizontal="center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3" fontId="0" fillId="3" borderId="0" xfId="0" applyNumberFormat="1" applyFill="1" applyAlignment="1">
      <alignment/>
    </xf>
    <xf numFmtId="3" fontId="1" fillId="3" borderId="0" xfId="0" applyNumberFormat="1" applyFont="1" applyFill="1" applyAlignment="1">
      <alignment/>
    </xf>
    <xf numFmtId="0" fontId="0" fillId="3" borderId="0" xfId="0" applyFill="1" applyBorder="1" applyAlignment="1">
      <alignment/>
    </xf>
    <xf numFmtId="3" fontId="0" fillId="3" borderId="0" xfId="0" applyNumberForma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" fillId="3" borderId="0" xfId="0" applyFont="1" applyFill="1" applyBorder="1" applyAlignment="1">
      <alignment horizontal="right"/>
    </xf>
    <xf numFmtId="9" fontId="0" fillId="3" borderId="0" xfId="0" applyNumberForma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2" fillId="3" borderId="0" xfId="0" applyFont="1" applyFill="1" applyAlignment="1">
      <alignment/>
    </xf>
    <xf numFmtId="3" fontId="1" fillId="3" borderId="0" xfId="0" applyNumberFormat="1" applyFont="1" applyFill="1" applyBorder="1" applyAlignment="1">
      <alignment/>
    </xf>
    <xf numFmtId="3" fontId="0" fillId="3" borderId="0" xfId="15" applyNumberFormat="1" applyFill="1" applyBorder="1" applyAlignment="1">
      <alignment/>
    </xf>
    <xf numFmtId="0" fontId="2" fillId="3" borderId="0" xfId="0" applyFont="1" applyFill="1" applyAlignment="1">
      <alignment horizontal="center"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4" borderId="5" xfId="0" applyNumberFormat="1" applyFill="1" applyBorder="1" applyAlignment="1">
      <alignment/>
    </xf>
    <xf numFmtId="3" fontId="0" fillId="4" borderId="6" xfId="0" applyNumberFormat="1" applyFill="1" applyBorder="1" applyAlignment="1">
      <alignment/>
    </xf>
    <xf numFmtId="3" fontId="0" fillId="4" borderId="7" xfId="0" applyNumberFormat="1" applyFill="1" applyBorder="1" applyAlignment="1">
      <alignment/>
    </xf>
    <xf numFmtId="0" fontId="0" fillId="3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3" fillId="8" borderId="0" xfId="0" applyFont="1" applyFill="1" applyAlignment="1">
      <alignment/>
    </xf>
    <xf numFmtId="0" fontId="0" fillId="9" borderId="0" xfId="0" applyFill="1" applyAlignment="1">
      <alignment/>
    </xf>
    <xf numFmtId="0" fontId="1" fillId="9" borderId="0" xfId="0" applyFont="1" applyFill="1" applyAlignment="1">
      <alignment/>
    </xf>
    <xf numFmtId="0" fontId="0" fillId="9" borderId="0" xfId="0" applyFill="1" applyAlignment="1">
      <alignment horizontal="right"/>
    </xf>
    <xf numFmtId="0" fontId="0" fillId="10" borderId="0" xfId="0" applyFill="1" applyAlignment="1">
      <alignment/>
    </xf>
    <xf numFmtId="0" fontId="0" fillId="10" borderId="0" xfId="0" applyFill="1" applyAlignment="1">
      <alignment horizontal="right"/>
    </xf>
    <xf numFmtId="0" fontId="1" fillId="10" borderId="0" xfId="0" applyFont="1" applyFill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3" borderId="8" xfId="0" applyFill="1" applyBorder="1" applyAlignment="1">
      <alignment horizontal="center"/>
    </xf>
    <xf numFmtId="167" fontId="0" fillId="9" borderId="0" xfId="15" applyNumberFormat="1" applyFill="1" applyAlignment="1">
      <alignment/>
    </xf>
    <xf numFmtId="167" fontId="1" fillId="9" borderId="0" xfId="0" applyNumberFormat="1" applyFont="1" applyFill="1" applyAlignment="1">
      <alignment/>
    </xf>
    <xf numFmtId="167" fontId="0" fillId="9" borderId="0" xfId="0" applyNumberFormat="1" applyFill="1" applyAlignment="1">
      <alignment/>
    </xf>
    <xf numFmtId="9" fontId="0" fillId="9" borderId="0" xfId="21" applyFill="1" applyAlignment="1">
      <alignment/>
    </xf>
    <xf numFmtId="0" fontId="0" fillId="2" borderId="8" xfId="0" applyFill="1" applyBorder="1" applyAlignment="1">
      <alignment horizontal="center"/>
    </xf>
    <xf numFmtId="167" fontId="0" fillId="10" borderId="0" xfId="15" applyNumberFormat="1" applyFill="1" applyAlignment="1">
      <alignment/>
    </xf>
    <xf numFmtId="167" fontId="1" fillId="10" borderId="0" xfId="0" applyNumberFormat="1" applyFont="1" applyFill="1" applyAlignment="1">
      <alignment/>
    </xf>
    <xf numFmtId="9" fontId="0" fillId="10" borderId="0" xfId="21" applyFill="1" applyAlignment="1">
      <alignment/>
    </xf>
    <xf numFmtId="167" fontId="0" fillId="10" borderId="0" xfId="0" applyNumberFormat="1" applyFill="1" applyAlignment="1">
      <alignment/>
    </xf>
    <xf numFmtId="1" fontId="0" fillId="9" borderId="0" xfId="0" applyNumberFormat="1" applyFill="1" applyAlignment="1">
      <alignment/>
    </xf>
    <xf numFmtId="1" fontId="0" fillId="10" borderId="0" xfId="0" applyNumberFormat="1" applyFill="1" applyAlignment="1">
      <alignment/>
    </xf>
    <xf numFmtId="0" fontId="0" fillId="6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7" borderId="0" xfId="0" applyFill="1" applyBorder="1" applyAlignment="1">
      <alignment/>
    </xf>
    <xf numFmtId="0" fontId="3" fillId="8" borderId="0" xfId="0" applyFont="1" applyFill="1" applyBorder="1" applyAlignment="1">
      <alignment/>
    </xf>
    <xf numFmtId="0" fontId="0" fillId="9" borderId="0" xfId="0" applyFill="1" applyBorder="1" applyAlignment="1">
      <alignment/>
    </xf>
    <xf numFmtId="173" fontId="0" fillId="2" borderId="8" xfId="0" applyNumberFormat="1" applyFill="1" applyBorder="1" applyAlignment="1">
      <alignment horizontal="center"/>
    </xf>
    <xf numFmtId="167" fontId="0" fillId="3" borderId="0" xfId="15" applyNumberFormat="1" applyFill="1" applyAlignment="1">
      <alignment/>
    </xf>
    <xf numFmtId="0" fontId="1" fillId="9" borderId="0" xfId="0" applyFont="1" applyFill="1" applyAlignment="1">
      <alignment horizontal="right"/>
    </xf>
    <xf numFmtId="0" fontId="0" fillId="9" borderId="0" xfId="0" applyFill="1" applyBorder="1" applyAlignment="1">
      <alignment horizontal="right"/>
    </xf>
    <xf numFmtId="0" fontId="0" fillId="9" borderId="0" xfId="0" applyFill="1" applyBorder="1" applyAlignment="1">
      <alignment horizontal="center"/>
    </xf>
    <xf numFmtId="0" fontId="0" fillId="10" borderId="0" xfId="0" applyFill="1" applyBorder="1" applyAlignment="1">
      <alignment/>
    </xf>
    <xf numFmtId="0" fontId="0" fillId="10" borderId="0" xfId="0" applyFill="1" applyBorder="1" applyAlignment="1">
      <alignment horizontal="right"/>
    </xf>
    <xf numFmtId="0" fontId="0" fillId="10" borderId="0" xfId="0" applyFill="1" applyBorder="1" applyAlignment="1">
      <alignment horizontal="center"/>
    </xf>
    <xf numFmtId="0" fontId="1" fillId="10" borderId="0" xfId="0" applyFont="1" applyFill="1" applyAlignment="1">
      <alignment horizontal="right"/>
    </xf>
    <xf numFmtId="167" fontId="1" fillId="3" borderId="0" xfId="0" applyNumberFormat="1" applyFont="1" applyFill="1" applyAlignment="1">
      <alignment/>
    </xf>
    <xf numFmtId="0" fontId="0" fillId="11" borderId="0" xfId="0" applyFill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3" fontId="8" fillId="3" borderId="0" xfId="0" applyNumberFormat="1" applyFont="1" applyFill="1" applyAlignment="1">
      <alignment/>
    </xf>
    <xf numFmtId="3" fontId="9" fillId="3" borderId="0" xfId="0" applyNumberFormat="1" applyFont="1" applyFill="1" applyAlignment="1">
      <alignment/>
    </xf>
    <xf numFmtId="0" fontId="9" fillId="3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strike val="0"/>
        <color rgb="FFFFFFFF"/>
      </font>
      <fill>
        <patternFill>
          <bgColor rgb="FFFF0000"/>
        </patternFill>
      </fill>
      <border/>
    </dxf>
    <dxf>
      <font>
        <strike val="0"/>
        <color rgb="FF000000"/>
      </font>
      <fill>
        <patternFill>
          <bgColor rgb="FFFFCC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85"/>
          <c:y val="0.1715"/>
          <c:w val="0.9232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'Overall (Graphs)'!$C$5</c:f>
              <c:strCache>
                <c:ptCount val="1"/>
                <c:pt idx="0">
                  <c:v>Overall Average of All Defect PPM KPIs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'Overall (Graphs)'!$D$2:$O$3</c:f>
              <c:multiLvlStrCache/>
            </c:multiLvlStrRef>
          </c:cat>
          <c:val>
            <c:numRef>
              <c:f>'Overall (Graphs)'!$D$5:$O$5</c:f>
              <c:numCache/>
            </c:numRef>
          </c:val>
        </c:ser>
        <c:axId val="46766759"/>
        <c:axId val="18247648"/>
      </c:barChart>
      <c:catAx>
        <c:axId val="46766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8247648"/>
        <c:crosses val="autoZero"/>
        <c:auto val="1"/>
        <c:lblOffset val="100"/>
        <c:noMultiLvlLbl val="0"/>
      </c:catAx>
      <c:valAx>
        <c:axId val="18247648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Defects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6766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% Planned vs % Reactive Maintenance - Asset Group B - All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3175"/>
          <c:w val="0.93375"/>
          <c:h val="0.84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Cost!$C$59</c:f>
              <c:strCache>
                <c:ptCount val="1"/>
                <c:pt idx="0">
                  <c:v>Cost or Man Hrs Planned - Asset Group B (All)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Cost!$E$59:$P$59</c:f>
              <c:numCache>
                <c:ptCount val="12"/>
                <c:pt idx="0">
                  <c:v>0.5753164556962025</c:v>
                </c:pt>
                <c:pt idx="1">
                  <c:v>0.5835982199618563</c:v>
                </c:pt>
                <c:pt idx="2">
                  <c:v>0.6011673151750972</c:v>
                </c:pt>
                <c:pt idx="3">
                  <c:v>0.6051417270929466</c:v>
                </c:pt>
                <c:pt idx="4">
                  <c:v>0.6283244680851063</c:v>
                </c:pt>
                <c:pt idx="5">
                  <c:v>0.6283367556468172</c:v>
                </c:pt>
                <c:pt idx="6">
                  <c:v>0.6460239268121042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Cost!$C$60</c:f>
              <c:strCache>
                <c:ptCount val="1"/>
                <c:pt idx="0">
                  <c:v>Cost or Man Hrs Reactuve - Asset Group B (All)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Cost!$E$60:$P$60</c:f>
              <c:numCache>
                <c:ptCount val="12"/>
                <c:pt idx="0">
                  <c:v>0.4240506329113924</c:v>
                </c:pt>
                <c:pt idx="1">
                  <c:v>0.4157660521296885</c:v>
                </c:pt>
                <c:pt idx="2">
                  <c:v>0.3981841763942931</c:v>
                </c:pt>
                <c:pt idx="3">
                  <c:v>0.3941990771259064</c:v>
                </c:pt>
                <c:pt idx="4">
                  <c:v>0.37101063829787234</c:v>
                </c:pt>
                <c:pt idx="5">
                  <c:v>0.37097878165639975</c:v>
                </c:pt>
                <c:pt idx="6">
                  <c:v>0.35327234342012664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2026123"/>
        <c:axId val="42690788"/>
      </c:barChart>
      <c:catAx>
        <c:axId val="4202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90788"/>
        <c:crosses val="autoZero"/>
        <c:auto val="1"/>
        <c:lblOffset val="100"/>
        <c:noMultiLvlLbl val="0"/>
      </c:catAx>
      <c:valAx>
        <c:axId val="4269078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2612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"/>
          <c:y val="0.5825"/>
          <c:w val="0.6585"/>
          <c:h val="0.14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% Planned vs % Reactive Maintenance - Asset Group B &gt;20 Yrs Old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9875"/>
          <c:w val="0.9345"/>
          <c:h val="0.8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Cost!$C$185</c:f>
              <c:strCache>
                <c:ptCount val="1"/>
                <c:pt idx="0">
                  <c:v>Cost or Man Hrs Planned - Asset Group B &gt; 20 Yrs Old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Cost!$E$185:$P$185</c:f>
              <c:numCache>
                <c:ptCount val="12"/>
                <c:pt idx="0">
                  <c:v>0.4239520958083832</c:v>
                </c:pt>
                <c:pt idx="1">
                  <c:v>0.4423305588585018</c:v>
                </c:pt>
                <c:pt idx="2">
                  <c:v>0.4881101376720901</c:v>
                </c:pt>
                <c:pt idx="3">
                  <c:v>0.4837451235370611</c:v>
                </c:pt>
                <c:pt idx="4">
                  <c:v>0.5583224115334207</c:v>
                </c:pt>
                <c:pt idx="5">
                  <c:v>0.533715925394548</c:v>
                </c:pt>
                <c:pt idx="6">
                  <c:v>0.5839874411302983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Cost!$C$186</c:f>
              <c:strCache>
                <c:ptCount val="1"/>
                <c:pt idx="0">
                  <c:v>Cost or Man Hrs Reactive - Asset Group B &gt; 20 Yrs Old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Cost!$E$186:$P$186</c:f>
              <c:numCache>
                <c:ptCount val="12"/>
                <c:pt idx="0">
                  <c:v>0.5760479041916168</c:v>
                </c:pt>
                <c:pt idx="1">
                  <c:v>0.5576694411414982</c:v>
                </c:pt>
                <c:pt idx="2">
                  <c:v>0.5118898623279099</c:v>
                </c:pt>
                <c:pt idx="3">
                  <c:v>0.5162548764629389</c:v>
                </c:pt>
                <c:pt idx="4">
                  <c:v>0.4416775884665793</c:v>
                </c:pt>
                <c:pt idx="5">
                  <c:v>0.46628407460545196</c:v>
                </c:pt>
                <c:pt idx="6">
                  <c:v>0.41601255886970173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8672773"/>
        <c:axId val="35401774"/>
      </c:barChart>
      <c:catAx>
        <c:axId val="4867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5401774"/>
        <c:crosses val="autoZero"/>
        <c:auto val="1"/>
        <c:lblOffset val="100"/>
        <c:noMultiLvlLbl val="0"/>
      </c:catAx>
      <c:valAx>
        <c:axId val="3540177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7277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5"/>
          <c:y val="0.59775"/>
          <c:w val="0.64775"/>
          <c:h val="0.15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% Planned vs % Reactive Maintenance - Asset Group B &lt;20 Yrs Old</a:t>
            </a:r>
          </a:p>
        </c:rich>
      </c:tx>
      <c:layout>
        <c:manualLayout>
          <c:xMode val="factor"/>
          <c:yMode val="factor"/>
          <c:x val="0.003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95"/>
          <c:w val="0.92525"/>
          <c:h val="0.86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Cost!$C$156</c:f>
              <c:strCache>
                <c:ptCount val="1"/>
                <c:pt idx="0">
                  <c:v>Cost or Man Hrs Planned - Asset Group B &lt; 20 Yrs Old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Cost!$E$156:$P$156</c:f>
              <c:numCache>
                <c:ptCount val="12"/>
                <c:pt idx="0">
                  <c:v>0.6296774193548387</c:v>
                </c:pt>
                <c:pt idx="1">
                  <c:v>0.6351409978308026</c:v>
                </c:pt>
                <c:pt idx="2">
                  <c:v>0.6407002188183808</c:v>
                </c:pt>
                <c:pt idx="3">
                  <c:v>0.6463576158940397</c:v>
                </c:pt>
                <c:pt idx="4">
                  <c:v>0.6521158129175947</c:v>
                </c:pt>
                <c:pt idx="5">
                  <c:v>0.6579775280898876</c:v>
                </c:pt>
                <c:pt idx="6">
                  <c:v>0.6639455782312925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Cost!$C$157</c:f>
              <c:strCache>
                <c:ptCount val="1"/>
                <c:pt idx="0">
                  <c:v>Cost or Man Hrs Reactive - Asset Group B &lt; 20 Yrs Old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Cost!$E$157:$P$157</c:f>
              <c:numCache>
                <c:ptCount val="12"/>
                <c:pt idx="0">
                  <c:v>0.37032258064516127</c:v>
                </c:pt>
                <c:pt idx="1">
                  <c:v>0.3648590021691974</c:v>
                </c:pt>
                <c:pt idx="2">
                  <c:v>0.35929978118161926</c:v>
                </c:pt>
                <c:pt idx="3">
                  <c:v>0.3536423841059603</c:v>
                </c:pt>
                <c:pt idx="4">
                  <c:v>0.34788418708240537</c:v>
                </c:pt>
                <c:pt idx="5">
                  <c:v>0.34202247191011237</c:v>
                </c:pt>
                <c:pt idx="6">
                  <c:v>0.3360544217687075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0180511"/>
        <c:axId val="48971416"/>
      </c:barChart>
      <c:catAx>
        <c:axId val="50180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8971416"/>
        <c:crosses val="autoZero"/>
        <c:auto val="1"/>
        <c:lblOffset val="100"/>
        <c:noMultiLvlLbl val="0"/>
      </c:catAx>
      <c:valAx>
        <c:axId val="4897141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8051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60275"/>
          <c:w val="0.71"/>
          <c:h val="0.15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PPM Defects by Category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13"/>
          <c:w val="0.908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Cost!$C$22</c:f>
              <c:strCache>
                <c:ptCount val="1"/>
                <c:pt idx="0">
                  <c:v>Average of Cost KPIs - Defects PPM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'Overall (Graphs)'!$D$2:$O$3</c:f>
              <c:multiLvlStrCache/>
            </c:multiLvlStrRef>
          </c:cat>
          <c:val>
            <c:numRef>
              <c:f>Cost!$E$22:$P$22</c:f>
              <c:numCache>
                <c:ptCount val="12"/>
                <c:pt idx="0">
                  <c:v>1000000</c:v>
                </c:pt>
                <c:pt idx="1">
                  <c:v>1000000</c:v>
                </c:pt>
                <c:pt idx="2">
                  <c:v>1000000</c:v>
                </c:pt>
                <c:pt idx="3">
                  <c:v>1000000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Quality!$C$54</c:f>
              <c:strCache>
                <c:ptCount val="1"/>
                <c:pt idx="0">
                  <c:v>Average of Quality KPIs - Defects PPM 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Quality!$E$54:$P$54</c:f>
              <c:numCache>
                <c:ptCount val="12"/>
                <c:pt idx="0">
                  <c:v>666666.6666666666</c:v>
                </c:pt>
                <c:pt idx="1">
                  <c:v>340740.74074074073</c:v>
                </c:pt>
                <c:pt idx="2">
                  <c:v>500000</c:v>
                </c:pt>
                <c:pt idx="3">
                  <c:v>333333.3333333333</c:v>
                </c:pt>
                <c:pt idx="4">
                  <c:v>500000</c:v>
                </c:pt>
                <c:pt idx="5">
                  <c:v>500000</c:v>
                </c:pt>
                <c:pt idx="6">
                  <c:v>340740.74074074073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Delivery!$C$26</c:f>
              <c:strCache>
                <c:ptCount val="1"/>
                <c:pt idx="0">
                  <c:v>Average of Delivery KPIs - Defects PPM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Delivery!$E$26:$P$26</c:f>
              <c:numCache>
                <c:ptCount val="12"/>
                <c:pt idx="0">
                  <c:v>210526.31578947365</c:v>
                </c:pt>
                <c:pt idx="1">
                  <c:v>207017.54385964913</c:v>
                </c:pt>
                <c:pt idx="2">
                  <c:v>3508.771929824561</c:v>
                </c:pt>
                <c:pt idx="3">
                  <c:v>202105.26315789475</c:v>
                </c:pt>
                <c:pt idx="4">
                  <c:v>0</c:v>
                </c:pt>
                <c:pt idx="5">
                  <c:v>206315.7894736842</c:v>
                </c:pt>
                <c:pt idx="6">
                  <c:v>200000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'Corporate Responsibility'!$C$47</c:f>
              <c:strCache>
                <c:ptCount val="1"/>
                <c:pt idx="0">
                  <c:v>Average of CR KPIs - Defects PPM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'Corporate Responsibility'!$E$47:$P$47</c:f>
              <c:numCache>
                <c:ptCount val="12"/>
                <c:pt idx="0">
                  <c:v>121345.02923976607</c:v>
                </c:pt>
                <c:pt idx="1">
                  <c:v>466468.5908319184</c:v>
                </c:pt>
                <c:pt idx="2">
                  <c:v>116388.53230637568</c:v>
                </c:pt>
                <c:pt idx="3">
                  <c:v>120249.28110223316</c:v>
                </c:pt>
                <c:pt idx="4">
                  <c:v>6453.863596720741</c:v>
                </c:pt>
                <c:pt idx="5">
                  <c:v>7936.5079365079355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Other!$C$9</c:f>
              <c:strCache>
                <c:ptCount val="1"/>
                <c:pt idx="0">
                  <c:v>Average of Other KPIs - Defects PPM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Other!$E$9:$P$9</c:f>
              <c:numCache>
                <c:ptCount val="12"/>
                <c:pt idx="0">
                  <c:v>35087.71929824561</c:v>
                </c:pt>
                <c:pt idx="1">
                  <c:v>66213.92190152798</c:v>
                </c:pt>
                <c:pt idx="2">
                  <c:v>58622.16516902007</c:v>
                </c:pt>
                <c:pt idx="3">
                  <c:v>7765.314926660842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0011105"/>
        <c:axId val="1664490"/>
      </c:barChart>
      <c:catAx>
        <c:axId val="30011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664490"/>
        <c:crosses val="autoZero"/>
        <c:auto val="1"/>
        <c:lblOffset val="100"/>
        <c:noMultiLvlLbl val="0"/>
      </c:catAx>
      <c:valAx>
        <c:axId val="1664490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Defects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0011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375"/>
          <c:y val="0.17175"/>
          <c:w val="0.29425"/>
          <c:h val="0.2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075"/>
          <c:w val="0.96875"/>
          <c:h val="0.95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'Corporate Responsibility'!$C$7</c:f>
              <c:strCache>
                <c:ptCount val="1"/>
                <c:pt idx="0">
                  <c:v>Number of Near Miss Incidents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'Overall (Graphs)'!$D$2:$O$3</c:f>
              <c:multiLvlStrCache/>
            </c:multiLvlStrRef>
          </c:cat>
          <c:val>
            <c:numRef>
              <c:f>'Corporate Responsibility'!$E$7:$P$7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0"/>
          <c:order val="1"/>
          <c:tx>
            <c:strRef>
              <c:f>'Corporate Responsibility'!$C$8</c:f>
              <c:strCache>
                <c:ptCount val="1"/>
                <c:pt idx="0">
                  <c:v>Number of Non-Reportable Incidents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'Overall (Graphs)'!$D$2:$O$3</c:f>
              <c:multiLvlStrCache/>
            </c:multiLvlStrRef>
          </c:cat>
          <c:val>
            <c:numRef>
              <c:f>'Corporate Responsibility'!$E$8:$P$8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2"/>
          <c:order val="3"/>
          <c:tx>
            <c:strRef>
              <c:f>'Corporate Responsibility'!$C$9</c:f>
              <c:strCache>
                <c:ptCount val="1"/>
                <c:pt idx="0">
                  <c:v>Number of RIDDOR Incidents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'Corporate Responsibility'!$E$9:$P$9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4980411"/>
        <c:axId val="605972"/>
      </c:barChart>
      <c:lineChart>
        <c:grouping val="standard"/>
        <c:varyColors val="0"/>
        <c:ser>
          <c:idx val="3"/>
          <c:order val="2"/>
          <c:tx>
            <c:strRef>
              <c:f>'Corporate Responsibility'!$C$10</c:f>
              <c:strCache>
                <c:ptCount val="1"/>
                <c:pt idx="0">
                  <c:v>Cumulative Number of Hours Worked Before RIDDOR Incident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'Corporate Responsibility'!$E$10:$P$10</c:f>
              <c:numCache>
                <c:ptCount val="12"/>
                <c:pt idx="0">
                  <c:v>4204</c:v>
                </c:pt>
                <c:pt idx="1">
                  <c:v>0</c:v>
                </c:pt>
                <c:pt idx="2">
                  <c:v>4104</c:v>
                </c:pt>
                <c:pt idx="3">
                  <c:v>8108</c:v>
                </c:pt>
                <c:pt idx="4">
                  <c:v>12112</c:v>
                </c:pt>
                <c:pt idx="5">
                  <c:v>16116</c:v>
                </c:pt>
                <c:pt idx="6">
                  <c:v>20120</c:v>
                </c:pt>
                <c:pt idx="7">
                  <c:v>20120</c:v>
                </c:pt>
                <c:pt idx="8">
                  <c:v>20120</c:v>
                </c:pt>
                <c:pt idx="9">
                  <c:v>20120</c:v>
                </c:pt>
                <c:pt idx="10">
                  <c:v>20120</c:v>
                </c:pt>
                <c:pt idx="11">
                  <c:v>20120</c:v>
                </c:pt>
              </c:numCache>
            </c:numRef>
          </c:val>
          <c:smooth val="0"/>
        </c:ser>
        <c:axId val="5453749"/>
        <c:axId val="49083742"/>
      </c:lineChart>
      <c:catAx>
        <c:axId val="14980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5972"/>
        <c:crosses val="autoZero"/>
        <c:auto val="0"/>
        <c:lblOffset val="100"/>
        <c:tickLblSkip val="1"/>
        <c:noMultiLvlLbl val="0"/>
      </c:catAx>
      <c:valAx>
        <c:axId val="605972"/>
        <c:scaling>
          <c:orientation val="minMax"/>
          <c:max val="5"/>
        </c:scaling>
        <c:axPos val="l"/>
        <c:delete val="0"/>
        <c:numFmt formatCode="General" sourceLinked="1"/>
        <c:majorTickMark val="in"/>
        <c:minorTickMark val="none"/>
        <c:tickLblPos val="nextTo"/>
        <c:crossAx val="14980411"/>
        <c:crossesAt val="1"/>
        <c:crossBetween val="between"/>
        <c:dispUnits/>
        <c:majorUnit val="1"/>
        <c:minorUnit val="1"/>
      </c:valAx>
      <c:catAx>
        <c:axId val="5453749"/>
        <c:scaling>
          <c:orientation val="minMax"/>
        </c:scaling>
        <c:axPos val="b"/>
        <c:delete val="1"/>
        <c:majorTickMark val="out"/>
        <c:minorTickMark val="none"/>
        <c:tickLblPos val="nextTo"/>
        <c:crossAx val="49083742"/>
        <c:crosses val="autoZero"/>
        <c:auto val="0"/>
        <c:lblOffset val="100"/>
        <c:tickLblSkip val="1"/>
        <c:noMultiLvlLbl val="0"/>
      </c:catAx>
      <c:valAx>
        <c:axId val="49083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537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"/>
          <c:y val="0.3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Direct Labour Hours (or Cost) Per Asset - Asset Group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0725"/>
          <c:w val="0.9055"/>
          <c:h val="0.87275"/>
        </c:manualLayout>
      </c:layout>
      <c:lineChart>
        <c:grouping val="standard"/>
        <c:varyColors val="0"/>
        <c:ser>
          <c:idx val="0"/>
          <c:order val="0"/>
          <c:tx>
            <c:strRef>
              <c:f>Cost!$C$44</c:f>
              <c:strCache>
                <c:ptCount val="1"/>
                <c:pt idx="0">
                  <c:v>Direct Labour Man Hours (or Cost Booked)/Asset - Group A (All)</c:v>
                </c:pt>
              </c:strCache>
            </c:strRef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Cost!$E$44:$P$44</c:f>
              <c:numCache>
                <c:ptCount val="12"/>
                <c:pt idx="0">
                  <c:v>48.651162790697676</c:v>
                </c:pt>
                <c:pt idx="1">
                  <c:v>48.18604651162791</c:v>
                </c:pt>
                <c:pt idx="2">
                  <c:v>47.72093023255814</c:v>
                </c:pt>
                <c:pt idx="3">
                  <c:v>47.25581395348837</c:v>
                </c:pt>
                <c:pt idx="4">
                  <c:v>46.7906976744186</c:v>
                </c:pt>
                <c:pt idx="5">
                  <c:v>46.325581395348834</c:v>
                </c:pt>
                <c:pt idx="6">
                  <c:v>45.86046511627907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Cost!$C$101</c:f>
              <c:strCache>
                <c:ptCount val="1"/>
                <c:pt idx="0">
                  <c:v>Direct Labour Man Hours (or Cost Booked)/Asset - Group A &lt; 20 Yrs Old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Cost!$E$101:$P$101</c:f>
              <c:numCache>
                <c:ptCount val="12"/>
                <c:pt idx="0">
                  <c:v>42.98529411764706</c:v>
                </c:pt>
                <c:pt idx="1">
                  <c:v>42.69117647058823</c:v>
                </c:pt>
                <c:pt idx="2">
                  <c:v>42.39705882352941</c:v>
                </c:pt>
                <c:pt idx="3">
                  <c:v>42.10294117647059</c:v>
                </c:pt>
                <c:pt idx="4">
                  <c:v>41.80882352941177</c:v>
                </c:pt>
                <c:pt idx="5">
                  <c:v>41.51470588235294</c:v>
                </c:pt>
                <c:pt idx="6">
                  <c:v>41.220588235294116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Cost!$C$130</c:f>
              <c:strCache>
                <c:ptCount val="1"/>
                <c:pt idx="0">
                  <c:v>Direct Labour Man Hours (or Cost Booked)/Asset - Group A &gt; 20 Yrs Old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marker>
              <c:symbol val="none"/>
            </c:marker>
          </c:dPt>
          <c:val>
            <c:numRef>
              <c:f>Cost!$E$130:$P$130</c:f>
              <c:numCache>
                <c:ptCount val="12"/>
                <c:pt idx="0">
                  <c:v>70.05555555555556</c:v>
                </c:pt>
                <c:pt idx="1">
                  <c:v>68.94444444444444</c:v>
                </c:pt>
                <c:pt idx="2">
                  <c:v>67.83333333333333</c:v>
                </c:pt>
                <c:pt idx="3">
                  <c:v>66.72222222222223</c:v>
                </c:pt>
                <c:pt idx="4">
                  <c:v>65.61111111111111</c:v>
                </c:pt>
                <c:pt idx="5">
                  <c:v>64.5</c:v>
                </c:pt>
                <c:pt idx="6">
                  <c:v>63.388888888888886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9100495"/>
        <c:axId val="16360136"/>
      </c:lineChart>
      <c:catAx>
        <c:axId val="3910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6360136"/>
        <c:crosses val="autoZero"/>
        <c:auto val="1"/>
        <c:lblOffset val="100"/>
        <c:noMultiLvlLbl val="0"/>
      </c:catAx>
      <c:valAx>
        <c:axId val="16360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Direct Labour Hours / Asset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9100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75"/>
          <c:y val="0.53875"/>
          <c:w val="0.5835"/>
          <c:h val="0.17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Direct Labour Hours (or Cost) Per Asset - Asset Group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1"/>
          <c:w val="0.89925"/>
          <c:h val="0.8675"/>
        </c:manualLayout>
      </c:layout>
      <c:lineChart>
        <c:grouping val="standard"/>
        <c:varyColors val="0"/>
        <c:ser>
          <c:idx val="0"/>
          <c:order val="0"/>
          <c:tx>
            <c:strRef>
              <c:f>Cost!$C$65</c:f>
              <c:strCache>
                <c:ptCount val="1"/>
                <c:pt idx="0">
                  <c:v>Direct Labour Man Hours (or Cost Booked)/Asset - Group B (All)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Cost!$E$65:$P$65</c:f>
              <c:numCache>
                <c:ptCount val="12"/>
                <c:pt idx="0">
                  <c:v>50.96774193548387</c:v>
                </c:pt>
                <c:pt idx="1">
                  <c:v>50.74193548387097</c:v>
                </c:pt>
                <c:pt idx="2">
                  <c:v>49.74193548387097</c:v>
                </c:pt>
                <c:pt idx="3">
                  <c:v>48.935483870967744</c:v>
                </c:pt>
                <c:pt idx="4">
                  <c:v>48.516129032258064</c:v>
                </c:pt>
                <c:pt idx="5">
                  <c:v>47.12903225806452</c:v>
                </c:pt>
                <c:pt idx="6">
                  <c:v>45.83870967741935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Cost!$C$159</c:f>
              <c:strCache>
                <c:ptCount val="1"/>
                <c:pt idx="0">
                  <c:v>Direct Labour Man Hours (or Cost Booked)/Asset - Group B &lt; 20 Yrs Old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Cost!$E$159:$P$159</c:f>
              <c:numCache>
                <c:ptCount val="12"/>
                <c:pt idx="0">
                  <c:v>46.5</c:v>
                </c:pt>
                <c:pt idx="1">
                  <c:v>46.1</c:v>
                </c:pt>
                <c:pt idx="2">
                  <c:v>45.7</c:v>
                </c:pt>
                <c:pt idx="3">
                  <c:v>45.3</c:v>
                </c:pt>
                <c:pt idx="4">
                  <c:v>44.9</c:v>
                </c:pt>
                <c:pt idx="5">
                  <c:v>44.5</c:v>
                </c:pt>
                <c:pt idx="6">
                  <c:v>44.1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Cost!$C$188</c:f>
              <c:strCache>
                <c:ptCount val="1"/>
                <c:pt idx="0">
                  <c:v>Direct Labour Man Hours (or Cost Booked)/Asset - Group B &gt; 20 Yrs Old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Cost!$E$188:$P$188</c:f>
              <c:numCache>
                <c:ptCount val="12"/>
                <c:pt idx="0">
                  <c:v>69.58333333333333</c:v>
                </c:pt>
                <c:pt idx="1">
                  <c:v>70.08333333333333</c:v>
                </c:pt>
                <c:pt idx="2">
                  <c:v>66.58333333333333</c:v>
                </c:pt>
                <c:pt idx="3">
                  <c:v>64.08333333333333</c:v>
                </c:pt>
                <c:pt idx="4">
                  <c:v>63.583333333333336</c:v>
                </c:pt>
                <c:pt idx="5">
                  <c:v>58.083333333333336</c:v>
                </c:pt>
                <c:pt idx="6">
                  <c:v>53.083333333333336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3023497"/>
        <c:axId val="50102610"/>
      </c:lineChart>
      <c:catAx>
        <c:axId val="1302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0102610"/>
        <c:crosses val="autoZero"/>
        <c:auto val="1"/>
        <c:lblOffset val="100"/>
        <c:noMultiLvlLbl val="0"/>
      </c:catAx>
      <c:valAx>
        <c:axId val="50102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Direct Labour Hours / Asset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3023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25"/>
          <c:y val="0.58825"/>
          <c:w val="0.7055"/>
          <c:h val="0.19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Cost Breakdown By Asset Group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8725"/>
          <c:w val="0.9315"/>
          <c:h val="0.900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Cost!$C$96</c:f>
              <c:strCache>
                <c:ptCount val="1"/>
                <c:pt idx="0">
                  <c:v>Direct Labour Man Hours (or Cost Booked) - Asset Group A &lt;20 Yrs Old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Cost!$E$96:$P$96</c:f>
              <c:numCache>
                <c:ptCount val="12"/>
                <c:pt idx="0">
                  <c:v>1461.5</c:v>
                </c:pt>
                <c:pt idx="1">
                  <c:v>1451.5</c:v>
                </c:pt>
                <c:pt idx="2">
                  <c:v>1441.5</c:v>
                </c:pt>
                <c:pt idx="3">
                  <c:v>1431.5</c:v>
                </c:pt>
                <c:pt idx="4">
                  <c:v>1421.5</c:v>
                </c:pt>
                <c:pt idx="5">
                  <c:v>1411.5</c:v>
                </c:pt>
                <c:pt idx="6">
                  <c:v>1401.5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1"/>
          <c:tx>
            <c:strRef>
              <c:f>Cost!$C$125</c:f>
              <c:strCache>
                <c:ptCount val="1"/>
                <c:pt idx="0">
                  <c:v>Direct Labour Man Hours (or Cost Booked) - Asset Group A &gt;20 Yrs Old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Cost!$E$125:$P$125</c:f>
              <c:numCache>
                <c:ptCount val="12"/>
                <c:pt idx="0">
                  <c:v>630.5</c:v>
                </c:pt>
                <c:pt idx="1">
                  <c:v>620.5</c:v>
                </c:pt>
                <c:pt idx="2">
                  <c:v>610.5</c:v>
                </c:pt>
                <c:pt idx="3">
                  <c:v>600.5</c:v>
                </c:pt>
                <c:pt idx="4">
                  <c:v>590.5</c:v>
                </c:pt>
                <c:pt idx="5">
                  <c:v>580.5</c:v>
                </c:pt>
                <c:pt idx="6">
                  <c:v>570.5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2"/>
          <c:tx>
            <c:strRef>
              <c:f>Cost!$C$154</c:f>
              <c:strCache>
                <c:ptCount val="1"/>
                <c:pt idx="0">
                  <c:v>Direct Labour Man Hours (or Cost Booked) - Asset Group B &lt;20 Yrs Old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Cost!$E$154:$P$154</c:f>
              <c:numCache>
                <c:ptCount val="12"/>
                <c:pt idx="0">
                  <c:v>1162.5</c:v>
                </c:pt>
                <c:pt idx="1">
                  <c:v>1152.5</c:v>
                </c:pt>
                <c:pt idx="2">
                  <c:v>1142.5</c:v>
                </c:pt>
                <c:pt idx="3">
                  <c:v>1132.5</c:v>
                </c:pt>
                <c:pt idx="4">
                  <c:v>1122.5</c:v>
                </c:pt>
                <c:pt idx="5">
                  <c:v>1112.5</c:v>
                </c:pt>
                <c:pt idx="6">
                  <c:v>1102.5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3"/>
          <c:tx>
            <c:strRef>
              <c:f>Cost!$C$183</c:f>
              <c:strCache>
                <c:ptCount val="1"/>
                <c:pt idx="0">
                  <c:v>Direct Labour Man Hours (or Cost Booked) - Asset Group B &gt;20 Yrs Old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Cost!$E$183:$P$183</c:f>
              <c:numCache>
                <c:ptCount val="12"/>
                <c:pt idx="0">
                  <c:v>417.5</c:v>
                </c:pt>
                <c:pt idx="1">
                  <c:v>420.5</c:v>
                </c:pt>
                <c:pt idx="2">
                  <c:v>399.5</c:v>
                </c:pt>
                <c:pt idx="3">
                  <c:v>384.5</c:v>
                </c:pt>
                <c:pt idx="4">
                  <c:v>381.5</c:v>
                </c:pt>
                <c:pt idx="5">
                  <c:v>348.5</c:v>
                </c:pt>
                <c:pt idx="6">
                  <c:v>318.5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4"/>
          <c:tx>
            <c:strRef>
              <c:f>Cost!$C$8</c:f>
              <c:strCache>
                <c:ptCount val="1"/>
                <c:pt idx="0">
                  <c:v>Indirect Labour Man Hours (or Cost) Available Year 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Cost!$E$8:$P$8</c:f>
              <c:numCache>
                <c:ptCount val="12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</c:numCache>
            </c:numRef>
          </c:val>
        </c:ser>
        <c:ser>
          <c:idx val="1"/>
          <c:order val="5"/>
          <c:tx>
            <c:strRef>
              <c:f>Cost!$C$11</c:f>
              <c:strCache>
                <c:ptCount val="1"/>
                <c:pt idx="0">
                  <c:v>Total Material Cost Year N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Cost!$E$11:$P$11</c:f>
              <c:numCache>
                <c:ptCount val="12"/>
                <c:pt idx="0">
                  <c:v>285</c:v>
                </c:pt>
                <c:pt idx="1">
                  <c:v>285</c:v>
                </c:pt>
                <c:pt idx="2">
                  <c:v>285</c:v>
                </c:pt>
                <c:pt idx="3">
                  <c:v>285</c:v>
                </c:pt>
                <c:pt idx="4">
                  <c:v>285</c:v>
                </c:pt>
                <c:pt idx="5">
                  <c:v>285</c:v>
                </c:pt>
                <c:pt idx="6">
                  <c:v>285</c:v>
                </c:pt>
              </c:numCache>
            </c:numRef>
          </c:val>
        </c:ser>
        <c:ser>
          <c:idx val="2"/>
          <c:order val="6"/>
          <c:tx>
            <c:strRef>
              <c:f>Cost!$C$14</c:f>
              <c:strCache>
                <c:ptCount val="1"/>
                <c:pt idx="0">
                  <c:v>Total Overhead Cost Year N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Cost!$E$14:$P$14</c:f>
              <c:numCache>
                <c:ptCount val="12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</c:numCache>
            </c:numRef>
          </c:val>
        </c:ser>
        <c:overlap val="100"/>
        <c:axId val="48270307"/>
        <c:axId val="31779580"/>
      </c:barChart>
      <c:catAx>
        <c:axId val="48270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1779580"/>
        <c:crosses val="autoZero"/>
        <c:auto val="1"/>
        <c:lblOffset val="100"/>
        <c:noMultiLvlLbl val="0"/>
      </c:catAx>
      <c:valAx>
        <c:axId val="31779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Labour Hours / 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8270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"/>
          <c:y val="0.68575"/>
          <c:w val="0.5587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% Planned vs % Reactive Maintenance - Asset Group A &lt;20 Yrs Old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1725"/>
          <c:w val="0.90125"/>
          <c:h val="0.83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Cost!$C$98</c:f>
              <c:strCache>
                <c:ptCount val="1"/>
                <c:pt idx="0">
                  <c:v>Cost or Man Hrs Planned - Asset Group A &lt; 20 Yrs Old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Cost!$E$98:$P$98</c:f>
              <c:numCache>
                <c:ptCount val="12"/>
                <c:pt idx="0">
                  <c:v>0.6808073896681491</c:v>
                </c:pt>
                <c:pt idx="1">
                  <c:v>0.6854977609369618</c:v>
                </c:pt>
                <c:pt idx="2">
                  <c:v>0.6902532084634062</c:v>
                </c:pt>
                <c:pt idx="3">
                  <c:v>0.6950750960530911</c:v>
                </c:pt>
                <c:pt idx="4">
                  <c:v>0.6999648258881463</c:v>
                </c:pt>
                <c:pt idx="5">
                  <c:v>0.7049238398866454</c:v>
                </c:pt>
                <c:pt idx="6">
                  <c:v>0.7099536211202283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Cost!$C$99</c:f>
              <c:strCache>
                <c:ptCount val="1"/>
                <c:pt idx="0">
                  <c:v>Cost or Man Hrs Reactive - Asset Group A &lt; 20 Yrs Old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Cost!$E$99:$P$99</c:f>
              <c:numCache>
                <c:ptCount val="12"/>
                <c:pt idx="0">
                  <c:v>0.3191926103318508</c:v>
                </c:pt>
                <c:pt idx="1">
                  <c:v>0.31450223906303826</c:v>
                </c:pt>
                <c:pt idx="2">
                  <c:v>0.30974679153659385</c:v>
                </c:pt>
                <c:pt idx="3">
                  <c:v>0.30492490394690885</c:v>
                </c:pt>
                <c:pt idx="4">
                  <c:v>0.30003517411185365</c:v>
                </c:pt>
                <c:pt idx="5">
                  <c:v>0.2950761601133546</c:v>
                </c:pt>
                <c:pt idx="6">
                  <c:v>0.2900463788797717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7580765"/>
        <c:axId val="24009158"/>
      </c:barChart>
      <c:catAx>
        <c:axId val="17580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09158"/>
        <c:crosses val="autoZero"/>
        <c:auto val="1"/>
        <c:lblOffset val="100"/>
        <c:noMultiLvlLbl val="0"/>
      </c:catAx>
      <c:valAx>
        <c:axId val="2400915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80765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25"/>
          <c:y val="0.579"/>
          <c:w val="0.713"/>
          <c:h val="0.15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% Planned vs % Reactive Maintenance - Asset Group A &gt;20 Yrs Old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945"/>
          <c:w val="0.9345"/>
          <c:h val="0.8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Cost!$C$127</c:f>
              <c:strCache>
                <c:ptCount val="1"/>
                <c:pt idx="0">
                  <c:v>Cost or Man Hrs Planned - Asset Group A &gt; 20 Yrs Old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Cost!$E$127:$P$127</c:f>
              <c:numCache>
                <c:ptCount val="12"/>
                <c:pt idx="0">
                  <c:v>0.41871530531324347</c:v>
                </c:pt>
                <c:pt idx="1">
                  <c:v>0.4254633360193392</c:v>
                </c:pt>
                <c:pt idx="2">
                  <c:v>0.43243243243243246</c:v>
                </c:pt>
                <c:pt idx="3">
                  <c:v>0.43963363863447125</c:v>
                </c:pt>
                <c:pt idx="4">
                  <c:v>0.4470787468247248</c:v>
                </c:pt>
                <c:pt idx="5">
                  <c:v>0.45478036175710596</c:v>
                </c:pt>
                <c:pt idx="6">
                  <c:v>0.46275197195442597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Cost!$C$128</c:f>
              <c:strCache>
                <c:ptCount val="1"/>
                <c:pt idx="0">
                  <c:v>Cost or Man Hrs Reactive - Asset Group A &gt; 20 Yrs Old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Cost!$E$128:$P$128</c:f>
              <c:numCache>
                <c:ptCount val="12"/>
                <c:pt idx="0">
                  <c:v>0.5812846946867566</c:v>
                </c:pt>
                <c:pt idx="1">
                  <c:v>0.5745366639806607</c:v>
                </c:pt>
                <c:pt idx="2">
                  <c:v>0.5675675675675675</c:v>
                </c:pt>
                <c:pt idx="3">
                  <c:v>0.5603663613655288</c:v>
                </c:pt>
                <c:pt idx="4">
                  <c:v>0.5529212531752752</c:v>
                </c:pt>
                <c:pt idx="5">
                  <c:v>0.5452196382428941</c:v>
                </c:pt>
                <c:pt idx="6">
                  <c:v>0.537248028045574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4755831"/>
        <c:axId val="65693616"/>
      </c:barChart>
      <c:catAx>
        <c:axId val="14755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93616"/>
        <c:crosses val="autoZero"/>
        <c:auto val="1"/>
        <c:lblOffset val="100"/>
        <c:noMultiLvlLbl val="0"/>
      </c:catAx>
      <c:valAx>
        <c:axId val="6569361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5583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5"/>
          <c:y val="0.58975"/>
          <c:w val="0.6465"/>
          <c:h val="0.15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% Planned vs % Reactive Maintenance - Asset Group A - All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2825"/>
          <c:w val="0.93075"/>
          <c:h val="0.84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Cost!$C$38</c:f>
              <c:strCache>
                <c:ptCount val="1"/>
                <c:pt idx="0">
                  <c:v>Cost or Man Hrs Planned - Asset Group A (All)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Cost!$E$38:$P$38</c:f>
              <c:numCache>
                <c:ptCount val="12"/>
                <c:pt idx="0">
                  <c:v>0.6018164435946463</c:v>
                </c:pt>
                <c:pt idx="1">
                  <c:v>0.6076254826254827</c:v>
                </c:pt>
                <c:pt idx="2">
                  <c:v>0.6135477582846004</c:v>
                </c:pt>
                <c:pt idx="3">
                  <c:v>0.6195866141732284</c:v>
                </c:pt>
                <c:pt idx="4">
                  <c:v>0.6257455268389662</c:v>
                </c:pt>
                <c:pt idx="5">
                  <c:v>0.6320281124497992</c:v>
                </c:pt>
                <c:pt idx="6">
                  <c:v>0.6384381338742393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Cost!$C$39</c:f>
              <c:strCache>
                <c:ptCount val="1"/>
                <c:pt idx="0">
                  <c:v>Cost or Man Hrs Reactuve - Asset Group A (All)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Cost!$E$39:$P$39</c:f>
              <c:numCache>
                <c:ptCount val="12"/>
                <c:pt idx="0">
                  <c:v>0.3977055449330784</c:v>
                </c:pt>
                <c:pt idx="1">
                  <c:v>0.3918918918918919</c:v>
                </c:pt>
                <c:pt idx="2">
                  <c:v>0.38596491228070173</c:v>
                </c:pt>
                <c:pt idx="3">
                  <c:v>0.3799212598425197</c:v>
                </c:pt>
                <c:pt idx="4">
                  <c:v>0.37375745526838966</c:v>
                </c:pt>
                <c:pt idx="5">
                  <c:v>0.3674698795180723</c:v>
                </c:pt>
                <c:pt idx="6">
                  <c:v>0.36105476673427994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4371633"/>
        <c:axId val="19582650"/>
      </c:barChart>
      <c:catAx>
        <c:axId val="5437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82650"/>
        <c:crosses val="autoZero"/>
        <c:auto val="1"/>
        <c:lblOffset val="100"/>
        <c:noMultiLvlLbl val="0"/>
      </c:catAx>
      <c:valAx>
        <c:axId val="1958265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7163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75"/>
          <c:y val="0.58175"/>
          <c:w val="0.663"/>
          <c:h val="0.15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</xdr:row>
      <xdr:rowOff>95250</xdr:rowOff>
    </xdr:from>
    <xdr:to>
      <xdr:col>5</xdr:col>
      <xdr:colOff>857250</xdr:colOff>
      <xdr:row>37</xdr:row>
      <xdr:rowOff>38100</xdr:rowOff>
    </xdr:to>
    <xdr:graphicFrame>
      <xdr:nvGraphicFramePr>
        <xdr:cNvPr id="1" name="Chart 3"/>
        <xdr:cNvGraphicFramePr/>
      </xdr:nvGraphicFramePr>
      <xdr:xfrm>
        <a:off x="133350" y="1000125"/>
        <a:ext cx="785812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266700</xdr:colOff>
      <xdr:row>6</xdr:row>
      <xdr:rowOff>114300</xdr:rowOff>
    </xdr:from>
    <xdr:to>
      <xdr:col>15</xdr:col>
      <xdr:colOff>0</xdr:colOff>
      <xdr:row>37</xdr:row>
      <xdr:rowOff>57150</xdr:rowOff>
    </xdr:to>
    <xdr:graphicFrame>
      <xdr:nvGraphicFramePr>
        <xdr:cNvPr id="2" name="Chart 4"/>
        <xdr:cNvGraphicFramePr/>
      </xdr:nvGraphicFramePr>
      <xdr:xfrm>
        <a:off x="8305800" y="1019175"/>
        <a:ext cx="751522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37</xdr:row>
      <xdr:rowOff>114300</xdr:rowOff>
    </xdr:from>
    <xdr:to>
      <xdr:col>5</xdr:col>
      <xdr:colOff>838200</xdr:colOff>
      <xdr:row>67</xdr:row>
      <xdr:rowOff>95250</xdr:rowOff>
    </xdr:to>
    <xdr:graphicFrame>
      <xdr:nvGraphicFramePr>
        <xdr:cNvPr id="3" name="Chart 5"/>
        <xdr:cNvGraphicFramePr/>
      </xdr:nvGraphicFramePr>
      <xdr:xfrm>
        <a:off x="152400" y="6038850"/>
        <a:ext cx="782002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457200</xdr:colOff>
      <xdr:row>0</xdr:row>
      <xdr:rowOff>133350</xdr:rowOff>
    </xdr:from>
    <xdr:to>
      <xdr:col>30</xdr:col>
      <xdr:colOff>361950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0820400" y="133350"/>
        <a:ext cx="78295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476250</xdr:colOff>
      <xdr:row>32</xdr:row>
      <xdr:rowOff>133350</xdr:rowOff>
    </xdr:from>
    <xdr:to>
      <xdr:col>30</xdr:col>
      <xdr:colOff>371475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10839450" y="5314950"/>
        <a:ext cx="782002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</xdr:row>
      <xdr:rowOff>19050</xdr:rowOff>
    </xdr:from>
    <xdr:to>
      <xdr:col>17</xdr:col>
      <xdr:colOff>381000</xdr:colOff>
      <xdr:row>61</xdr:row>
      <xdr:rowOff>19050</xdr:rowOff>
    </xdr:to>
    <xdr:graphicFrame>
      <xdr:nvGraphicFramePr>
        <xdr:cNvPr id="3" name="Chart 3"/>
        <xdr:cNvGraphicFramePr/>
      </xdr:nvGraphicFramePr>
      <xdr:xfrm>
        <a:off x="152400" y="180975"/>
        <a:ext cx="10591800" cy="971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0</xdr:row>
      <xdr:rowOff>114300</xdr:rowOff>
    </xdr:from>
    <xdr:to>
      <xdr:col>19</xdr:col>
      <xdr:colOff>342900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6076950" y="114300"/>
        <a:ext cx="58483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495300</xdr:colOff>
      <xdr:row>0</xdr:row>
      <xdr:rowOff>114300</xdr:rowOff>
    </xdr:from>
    <xdr:to>
      <xdr:col>29</xdr:col>
      <xdr:colOff>552450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12077700" y="114300"/>
        <a:ext cx="6153150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0</xdr:row>
      <xdr:rowOff>114300</xdr:rowOff>
    </xdr:from>
    <xdr:to>
      <xdr:col>9</xdr:col>
      <xdr:colOff>361950</xdr:colOff>
      <xdr:row>29</xdr:row>
      <xdr:rowOff>152400</xdr:rowOff>
    </xdr:to>
    <xdr:graphicFrame>
      <xdr:nvGraphicFramePr>
        <xdr:cNvPr id="3" name="Chart 3"/>
        <xdr:cNvGraphicFramePr/>
      </xdr:nvGraphicFramePr>
      <xdr:xfrm>
        <a:off x="38100" y="114300"/>
        <a:ext cx="5810250" cy="4733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361950</xdr:colOff>
      <xdr:row>60</xdr:row>
      <xdr:rowOff>76200</xdr:rowOff>
    </xdr:to>
    <xdr:graphicFrame>
      <xdr:nvGraphicFramePr>
        <xdr:cNvPr id="4" name="Chart 4"/>
        <xdr:cNvGraphicFramePr/>
      </xdr:nvGraphicFramePr>
      <xdr:xfrm>
        <a:off x="0" y="5019675"/>
        <a:ext cx="584835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476250</xdr:colOff>
      <xdr:row>31</xdr:row>
      <xdr:rowOff>0</xdr:rowOff>
    </xdr:from>
    <xdr:to>
      <xdr:col>29</xdr:col>
      <xdr:colOff>533400</xdr:colOff>
      <xdr:row>59</xdr:row>
      <xdr:rowOff>133350</xdr:rowOff>
    </xdr:to>
    <xdr:graphicFrame>
      <xdr:nvGraphicFramePr>
        <xdr:cNvPr id="5" name="Chart 6"/>
        <xdr:cNvGraphicFramePr/>
      </xdr:nvGraphicFramePr>
      <xdr:xfrm>
        <a:off x="12058650" y="5019675"/>
        <a:ext cx="6153150" cy="4667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552450</xdr:colOff>
      <xdr:row>31</xdr:row>
      <xdr:rowOff>0</xdr:rowOff>
    </xdr:from>
    <xdr:to>
      <xdr:col>19</xdr:col>
      <xdr:colOff>323850</xdr:colOff>
      <xdr:row>60</xdr:row>
      <xdr:rowOff>0</xdr:rowOff>
    </xdr:to>
    <xdr:graphicFrame>
      <xdr:nvGraphicFramePr>
        <xdr:cNvPr id="6" name="Chart 7"/>
        <xdr:cNvGraphicFramePr/>
      </xdr:nvGraphicFramePr>
      <xdr:xfrm>
        <a:off x="6038850" y="5019675"/>
        <a:ext cx="5867400" cy="4695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1600200</xdr:colOff>
      <xdr:row>194</xdr:row>
      <xdr:rowOff>9525</xdr:rowOff>
    </xdr:from>
    <xdr:to>
      <xdr:col>14</xdr:col>
      <xdr:colOff>95250</xdr:colOff>
      <xdr:row>216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1651575"/>
          <a:ext cx="1223962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61</xdr:row>
      <xdr:rowOff>95250</xdr:rowOff>
    </xdr:from>
    <xdr:to>
      <xdr:col>13</xdr:col>
      <xdr:colOff>247650</xdr:colOff>
      <xdr:row>83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705975"/>
          <a:ext cx="130302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V5"/>
  <sheetViews>
    <sheetView tabSelected="1" zoomScale="70" zoomScaleNormal="70" workbookViewId="0" topLeftCell="A1">
      <selection activeCell="C2" sqref="C2:C3"/>
    </sheetView>
  </sheetViews>
  <sheetFormatPr defaultColWidth="9.140625" defaultRowHeight="12.75"/>
  <cols>
    <col min="1" max="2" width="9.140625" style="10" customWidth="1"/>
    <col min="3" max="3" width="63.00390625" style="10" bestFit="1" customWidth="1"/>
    <col min="4" max="4" width="13.28125" style="10" bestFit="1" customWidth="1"/>
    <col min="5" max="5" width="12.421875" style="10" bestFit="1" customWidth="1"/>
    <col min="6" max="6" width="13.57421875" style="10" bestFit="1" customWidth="1"/>
    <col min="7" max="8" width="13.00390625" style="10" bestFit="1" customWidth="1"/>
    <col min="9" max="9" width="12.7109375" style="10" bestFit="1" customWidth="1"/>
    <col min="10" max="15" width="13.00390625" style="10" bestFit="1" customWidth="1"/>
    <col min="16" max="16384" width="9.140625" style="10" customWidth="1"/>
  </cols>
  <sheetData>
    <row r="2" spans="3:15" ht="15.75">
      <c r="C2" s="80" t="s">
        <v>115</v>
      </c>
      <c r="D2" s="11" t="s">
        <v>0</v>
      </c>
      <c r="E2" s="11" t="s">
        <v>0</v>
      </c>
      <c r="F2" s="11" t="s">
        <v>0</v>
      </c>
      <c r="G2" s="11" t="s">
        <v>0</v>
      </c>
      <c r="H2" s="11" t="s">
        <v>0</v>
      </c>
      <c r="I2" s="11" t="s">
        <v>0</v>
      </c>
      <c r="J2" s="11" t="s">
        <v>0</v>
      </c>
      <c r="K2" s="11" t="s">
        <v>0</v>
      </c>
      <c r="L2" s="11" t="s">
        <v>0</v>
      </c>
      <c r="M2" s="11" t="s">
        <v>0</v>
      </c>
      <c r="N2" s="11" t="s">
        <v>0</v>
      </c>
      <c r="O2" s="11" t="s">
        <v>0</v>
      </c>
    </row>
    <row r="3" spans="3:15" ht="15.75">
      <c r="C3" s="80" t="s">
        <v>114</v>
      </c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9</v>
      </c>
      <c r="M3" s="11" t="s">
        <v>10</v>
      </c>
      <c r="N3" s="11" t="s">
        <v>11</v>
      </c>
      <c r="O3" s="11" t="s">
        <v>12</v>
      </c>
    </row>
    <row r="4" spans="19:22" s="79" customFormat="1" ht="6.75" customHeight="1">
      <c r="S4" s="81"/>
      <c r="T4" s="81"/>
      <c r="U4" s="81"/>
      <c r="V4" s="81"/>
    </row>
    <row r="5" spans="3:22" s="79" customFormat="1" ht="15.75">
      <c r="C5" s="83" t="s">
        <v>93</v>
      </c>
      <c r="D5" s="82">
        <f>AVERAGE(Cost!E19,Quality!E7,Quality!E11,Quality!E15,Quality!E19,Quality!E34,Quality!E49,Delivery!E7,Delivery!E11,Delivery!E15,Delivery!E19,Delivery!E23,'Corporate Responsibility'!E12,'Corporate Responsibility'!E16,'Corporate Responsibility'!E20,'Corporate Responsibility'!E24,'Corporate Responsibility'!E28,'Corporate Responsibility'!E32,'Corporate Responsibility'!E36,'Corporate Responsibility'!E40,'Corporate Responsibility'!E44,Other!E7)</f>
        <v>326355.66188197763</v>
      </c>
      <c r="E5" s="82">
        <f>AVERAGE(Cost!F19,Quality!F7,Quality!F11,Quality!F15,Quality!F19,Quality!F34,Quality!F49,Delivery!F7,Delivery!F11,Delivery!F15,Delivery!F19,Delivery!F23,'Corporate Responsibility'!F12,'Corporate Responsibility'!F16,'Corporate Responsibility'!F20,'Corporate Responsibility'!F24,'Corporate Responsibility'!F28,'Corporate Responsibility'!F32,'Corporate Responsibility'!F36,'Corporate Responsibility'!F40,'Corporate Responsibility'!F44,Other!F7)</f>
        <v>379271.06377870374</v>
      </c>
      <c r="F5" s="82">
        <f>AVERAGE(Cost!G19,Quality!G7,Quality!G11,Quality!G15,Quality!G19,Quality!G34,Quality!G49,Delivery!G7,Delivery!G11,Delivery!G15,Delivery!G19,Delivery!G23,'Corporate Responsibility'!G12,'Corporate Responsibility'!G16,'Corporate Responsibility'!G20,'Corporate Responsibility'!G24,'Corporate Responsibility'!G28,'Corporate Responsibility'!G32,'Corporate Responsibility'!G36,'Corporate Responsibility'!G40,'Corporate Responsibility'!G44,Other!G7)</f>
        <v>232893.76434434202</v>
      </c>
      <c r="G5" s="82">
        <f>AVERAGE(Cost!H19,Quality!H7,Quality!H11,Quality!H15,Quality!H19,Quality!H34,Quality!H49,Delivery!H7,Delivery!H11,Delivery!H15,Delivery!H19,Delivery!H23,'Corporate Responsibility'!H12,'Corporate Responsibility'!H16,'Corporate Responsibility'!H20,'Corporate Responsibility'!H24,'Corporate Responsibility'!H28,'Corporate Responsibility'!H32,'Corporate Responsibility'!H36,'Corporate Responsibility'!H40,'Corporate Responsibility'!H44,Other!H7)</f>
        <v>231842.50730164693</v>
      </c>
      <c r="H5" s="82">
        <f>AVERAGE(Cost!I19,Quality!I7,Quality!I11,Quality!I15,Quality!I19,Quality!I34,Quality!I49,Delivery!I7,Delivery!I11,Delivery!I15,Delivery!I19,Delivery!I23,'Corporate Responsibility'!I12,'Corporate Responsibility'!I16,'Corporate Responsibility'!I20,'Corporate Responsibility'!I24,'Corporate Responsibility'!I28,'Corporate Responsibility'!I32,'Corporate Responsibility'!I36,'Corporate Responsibility'!I40,'Corporate Responsibility'!I44,Other!I7)</f>
        <v>139003.85328956757</v>
      </c>
      <c r="I5" s="82">
        <f>AVERAGE(Cost!J19,Quality!J7,Quality!J11,Quality!J15,Quality!J19,Quality!J34,Quality!J49,Delivery!J7,Delivery!J11,Delivery!J15,Delivery!J19,Delivery!J23,'Corporate Responsibility'!J12,'Corporate Responsibility'!J16,'Corporate Responsibility'!J20,'Corporate Responsibility'!J24,'Corporate Responsibility'!J28,'Corporate Responsibility'!J32,'Corporate Responsibility'!J36,'Corporate Responsibility'!J40,'Corporate Responsibility'!J44,Other!J7)</f>
        <v>186500.34176349966</v>
      </c>
      <c r="J5" s="82">
        <f>AVERAGE(Cost!K19,Quality!K7,Quality!K11,Quality!K15,Quality!K19,Quality!K34,Quality!K49,Delivery!K7,Delivery!K11,Delivery!K15,Delivery!K19,Delivery!K23,'Corporate Responsibility'!K12,'Corporate Responsibility'!K16,'Corporate Responsibility'!K20,'Corporate Responsibility'!K24,'Corporate Responsibility'!K28,'Corporate Responsibility'!K32,'Corporate Responsibility'!K36,'Corporate Responsibility'!K40,'Corporate Responsibility'!K44,Other!K7)</f>
        <v>138383.8383838384</v>
      </c>
      <c r="K5" s="82" t="e">
        <f>AVERAGE(Cost!L19,Quality!L7,Quality!L11,Quality!L15,Quality!L19,Quality!L34,Quality!L49,Delivery!L7,Delivery!L11,Delivery!L15,Delivery!L19,Delivery!L23,'Corporate Responsibility'!L12,'Corporate Responsibility'!L16,'Corporate Responsibility'!L20,'Corporate Responsibility'!L24,'Corporate Responsibility'!L28,'Corporate Responsibility'!L32,'Corporate Responsibility'!L36,'Corporate Responsibility'!L40,'Corporate Responsibility'!L44,Other!L7)</f>
        <v>#DIV/0!</v>
      </c>
      <c r="L5" s="82" t="e">
        <f>AVERAGE(Cost!M19,Quality!M7,Quality!M11,Quality!M15,Quality!M19,Quality!M34,Quality!M49,Delivery!M7,Delivery!M11,Delivery!M15,Delivery!M19,Delivery!M23,'Corporate Responsibility'!M12,'Corporate Responsibility'!M16,'Corporate Responsibility'!M20,'Corporate Responsibility'!M24,'Corporate Responsibility'!M28,'Corporate Responsibility'!M32,'Corporate Responsibility'!M36,'Corporate Responsibility'!M40,'Corporate Responsibility'!M44,Other!M7)</f>
        <v>#DIV/0!</v>
      </c>
      <c r="M5" s="82" t="e">
        <f>AVERAGE(Cost!N19,Quality!N7,Quality!N11,Quality!N15,Quality!N19,Quality!N34,Quality!N49,Delivery!N7,Delivery!N11,Delivery!N15,Delivery!N19,Delivery!N23,'Corporate Responsibility'!N12,'Corporate Responsibility'!N16,'Corporate Responsibility'!N20,'Corporate Responsibility'!N24,'Corporate Responsibility'!N28,'Corporate Responsibility'!N32,'Corporate Responsibility'!N36,'Corporate Responsibility'!N40,'Corporate Responsibility'!N44,Other!N7)</f>
        <v>#DIV/0!</v>
      </c>
      <c r="N5" s="82" t="e">
        <f>AVERAGE(Cost!O19,Quality!O7,Quality!O11,Quality!O15,Quality!O19,Quality!O34,Quality!O49,Delivery!O7,Delivery!O11,Delivery!O15,Delivery!O19,Delivery!O23,'Corporate Responsibility'!O12,'Corporate Responsibility'!O16,'Corporate Responsibility'!O20,'Corporate Responsibility'!O24,'Corporate Responsibility'!O28,'Corporate Responsibility'!O32,'Corporate Responsibility'!O36,'Corporate Responsibility'!O40,'Corporate Responsibility'!O44,Other!O7)</f>
        <v>#DIV/0!</v>
      </c>
      <c r="O5" s="82" t="e">
        <f>AVERAGE(Cost!P19,Quality!P7,Quality!P11,Quality!P15,Quality!P19,Quality!P34,Quality!P49,Delivery!P7,Delivery!P11,Delivery!P15,Delivery!P19,Delivery!P23,'Corporate Responsibility'!P12,'Corporate Responsibility'!P16,'Corporate Responsibility'!P20,'Corporate Responsibility'!P24,'Corporate Responsibility'!P28,'Corporate Responsibility'!P32,'Corporate Responsibility'!P36,'Corporate Responsibility'!P40,'Corporate Responsibility'!P44,Other!P7)</f>
        <v>#DIV/0!</v>
      </c>
      <c r="P5" s="81"/>
      <c r="Q5" s="81"/>
      <c r="R5" s="81"/>
      <c r="S5" s="81"/>
      <c r="T5" s="81"/>
      <c r="U5" s="81"/>
      <c r="V5" s="81"/>
    </row>
    <row r="6" ht="4.5" customHeight="1"/>
    <row r="7" s="78" customFormat="1" ht="12.75"/>
    <row r="8" s="78" customFormat="1" ht="12.75"/>
    <row r="9" s="78" customFormat="1" ht="12.75"/>
    <row r="10" s="78" customFormat="1" ht="12.75"/>
    <row r="11" s="78" customFormat="1" ht="12.75"/>
    <row r="12" s="78" customFormat="1" ht="12.75"/>
    <row r="13" s="78" customFormat="1" ht="12.75"/>
    <row r="14" s="78" customFormat="1" ht="12.75"/>
    <row r="15" s="78" customFormat="1" ht="12.75"/>
    <row r="16" s="78" customFormat="1" ht="12.75"/>
    <row r="17" s="78" customFormat="1" ht="12.75"/>
    <row r="18" s="78" customFormat="1" ht="12.75"/>
    <row r="19" s="78" customFormat="1" ht="12.75"/>
    <row r="20" s="78" customFormat="1" ht="12.75"/>
    <row r="21" s="78" customFormat="1" ht="12.75"/>
    <row r="22" s="78" customFormat="1" ht="12.75"/>
    <row r="23" s="78" customFormat="1" ht="12.75"/>
    <row r="24" s="78" customFormat="1" ht="12.75"/>
    <row r="25" s="78" customFormat="1" ht="12.75"/>
    <row r="26" s="78" customFormat="1" ht="12.75"/>
    <row r="27" s="78" customFormat="1" ht="12.75"/>
    <row r="28" s="78" customFormat="1" ht="12.75"/>
    <row r="29" s="78" customFormat="1" ht="12.75"/>
    <row r="30" s="78" customFormat="1" ht="12.75"/>
    <row r="31" s="78" customFormat="1" ht="12.75"/>
    <row r="32" s="78" customFormat="1" ht="12.75"/>
    <row r="33" s="78" customFormat="1" ht="12.75"/>
    <row r="34" s="78" customFormat="1" ht="12.75"/>
    <row r="35" s="78" customFormat="1" ht="12.75"/>
    <row r="36" s="78" customFormat="1" ht="12.75"/>
    <row r="37" s="78" customFormat="1" ht="12.75"/>
    <row r="38" s="78" customFormat="1" ht="12.75"/>
    <row r="39" s="78" customFormat="1" ht="12.75"/>
    <row r="40" s="78" customFormat="1" ht="12.75"/>
    <row r="41" s="78" customFormat="1" ht="12.75"/>
    <row r="42" s="78" customFormat="1" ht="12.75"/>
    <row r="43" s="78" customFormat="1" ht="12.75"/>
    <row r="44" s="78" customFormat="1" ht="12.75"/>
    <row r="45" s="78" customFormat="1" ht="12.75"/>
    <row r="46" s="78" customFormat="1" ht="12.75"/>
    <row r="47" s="78" customFormat="1" ht="12.75"/>
    <row r="48" s="78" customFormat="1" ht="12.75"/>
    <row r="49" s="78" customFormat="1" ht="12.75"/>
    <row r="50" s="78" customFormat="1" ht="12.75"/>
    <row r="51" s="78" customFormat="1" ht="12.75"/>
    <row r="52" s="78" customFormat="1" ht="12.75"/>
    <row r="53" s="78" customFormat="1" ht="12.75"/>
    <row r="54" s="78" customFormat="1" ht="12.75"/>
    <row r="55" s="78" customFormat="1" ht="12.75"/>
    <row r="56" s="78" customFormat="1" ht="12.75"/>
    <row r="57" s="78" customFormat="1" ht="12.75"/>
    <row r="58" s="78" customFormat="1" ht="12.75"/>
    <row r="59" s="78" customFormat="1" ht="12.75"/>
    <row r="60" s="78" customFormat="1" ht="12.75"/>
    <row r="61" s="78" customFormat="1" ht="12.75"/>
    <row r="62" s="78" customFormat="1" ht="12.75"/>
    <row r="63" s="78" customFormat="1" ht="12.75"/>
    <row r="64" s="78" customFormat="1" ht="12.75"/>
    <row r="65" s="78" customFormat="1" ht="12.75"/>
    <row r="66" s="78" customFormat="1" ht="12.75"/>
    <row r="67" s="78" customFormat="1" ht="12.75"/>
    <row r="68" s="78" customFormat="1" ht="12.75"/>
    <row r="69" s="78" customFormat="1" ht="12.75"/>
    <row r="70" s="78" customFormat="1" ht="12.75"/>
    <row r="71" s="78" customFormat="1" ht="12.75"/>
    <row r="72" s="78" customFormat="1" ht="12.75"/>
    <row r="73" s="78" customFormat="1" ht="12.75"/>
    <row r="74" s="78" customFormat="1" ht="12.75"/>
    <row r="75" s="78" customFormat="1" ht="12.75"/>
    <row r="76" s="78" customFormat="1" ht="12.75"/>
    <row r="77" s="78" customFormat="1" ht="12.75"/>
    <row r="78" s="78" customFormat="1" ht="12.75"/>
    <row r="79" s="78" customFormat="1" ht="12.75"/>
    <row r="80" s="78" customFormat="1" ht="12.75"/>
    <row r="81" s="78" customFormat="1" ht="12.75"/>
    <row r="82" s="78" customFormat="1" ht="12.75"/>
    <row r="83" s="78" customFormat="1" ht="12.75"/>
    <row r="84" s="78" customFormat="1" ht="12.75"/>
    <row r="85" s="78" customFormat="1" ht="12.75"/>
    <row r="86" s="78" customFormat="1" ht="12.75"/>
    <row r="87" s="78" customFormat="1" ht="12.75"/>
    <row r="88" s="78" customFormat="1" ht="12.75"/>
    <row r="89" s="78" customFormat="1" ht="12.75"/>
    <row r="90" s="78" customFormat="1" ht="12.75"/>
    <row r="91" s="78" customFormat="1" ht="12.75"/>
    <row r="92" s="78" customFormat="1" ht="12.75"/>
    <row r="93" s="78" customFormat="1" ht="12.75"/>
    <row r="94" s="78" customFormat="1" ht="12.75"/>
    <row r="95" s="78" customFormat="1" ht="12.75"/>
    <row r="96" s="78" customFormat="1" ht="12.75"/>
    <row r="97" s="78" customFormat="1" ht="12.75"/>
    <row r="98" s="78" customFormat="1" ht="12.75"/>
    <row r="99" s="78" customFormat="1" ht="12.75"/>
    <row r="100" s="78" customFormat="1" ht="12.75"/>
    <row r="101" s="78" customFormat="1" ht="12.75"/>
    <row r="102" s="78" customFormat="1" ht="12.75"/>
    <row r="103" s="78" customFormat="1" ht="12.75"/>
    <row r="104" s="78" customFormat="1" ht="12.75"/>
    <row r="105" s="78" customFormat="1" ht="12.75"/>
    <row r="106" s="78" customFormat="1" ht="12.75"/>
    <row r="107" s="78" customFormat="1" ht="12.75"/>
    <row r="108" s="78" customFormat="1" ht="12.75"/>
    <row r="109" s="78" customFormat="1" ht="12.75"/>
    <row r="110" s="78" customFormat="1" ht="12.75"/>
    <row r="111" s="78" customFormat="1" ht="12.75"/>
    <row r="112" s="78" customFormat="1" ht="12.75"/>
    <row r="113" s="78" customFormat="1" ht="12.75"/>
    <row r="114" s="78" customFormat="1" ht="12.75"/>
    <row r="115" s="78" customFormat="1" ht="12.75"/>
    <row r="116" s="78" customFormat="1" ht="12.75"/>
    <row r="117" s="78" customFormat="1" ht="12.75"/>
    <row r="118" s="78" customFormat="1" ht="12.75"/>
    <row r="119" s="78" customFormat="1" ht="12.75"/>
    <row r="120" s="78" customFormat="1" ht="12.75"/>
    <row r="121" s="78" customFormat="1" ht="12.75"/>
    <row r="122" s="78" customFormat="1" ht="12.75"/>
    <row r="123" s="78" customFormat="1" ht="12.75"/>
    <row r="124" s="78" customFormat="1" ht="12.75"/>
    <row r="125" s="78" customFormat="1" ht="12.75"/>
    <row r="126" s="78" customFormat="1" ht="12.75"/>
    <row r="127" s="78" customFormat="1" ht="12.75"/>
    <row r="128" s="78" customFormat="1" ht="12.75"/>
    <row r="129" s="78" customFormat="1" ht="12.75"/>
    <row r="130" s="78" customFormat="1" ht="12.75"/>
    <row r="131" s="78" customFormat="1" ht="12.75"/>
    <row r="132" s="78" customFormat="1" ht="12.75"/>
    <row r="133" s="78" customFormat="1" ht="12.75"/>
    <row r="134" s="78" customFormat="1" ht="12.75"/>
    <row r="135" s="78" customFormat="1" ht="12.75"/>
    <row r="136" s="78" customFormat="1" ht="12.75"/>
    <row r="137" s="78" customFormat="1" ht="12.75"/>
    <row r="138" s="78" customFormat="1" ht="12.75"/>
    <row r="139" s="78" customFormat="1" ht="12.75"/>
    <row r="140" s="78" customFormat="1" ht="12.75"/>
    <row r="141" s="78" customFormat="1" ht="12.75"/>
    <row r="142" s="78" customFormat="1" ht="12.75"/>
    <row r="143" s="78" customFormat="1" ht="12.75"/>
    <row r="144" s="78" customFormat="1" ht="12.75"/>
    <row r="145" s="78" customFormat="1" ht="12.75"/>
    <row r="146" s="78" customFormat="1" ht="12.75"/>
    <row r="147" s="78" customFormat="1" ht="12.75"/>
    <row r="148" s="78" customFormat="1" ht="12.75"/>
    <row r="149" s="78" customFormat="1" ht="12.75"/>
    <row r="150" s="78" customFormat="1" ht="12.75"/>
    <row r="151" s="78" customFormat="1" ht="12.75"/>
    <row r="152" s="78" customFormat="1" ht="12.75"/>
    <row r="153" s="78" customFormat="1" ht="12.75"/>
    <row r="154" s="78" customFormat="1" ht="12.75"/>
    <row r="155" s="78" customFormat="1" ht="12.75"/>
    <row r="156" s="78" customFormat="1" ht="12.75"/>
    <row r="157" s="78" customFormat="1" ht="12.75"/>
    <row r="158" s="78" customFormat="1" ht="12.75"/>
    <row r="159" s="78" customFormat="1" ht="12.75"/>
    <row r="160" s="78" customFormat="1" ht="12.75"/>
    <row r="161" s="78" customFormat="1" ht="12.75"/>
    <row r="162" s="78" customFormat="1" ht="12.75"/>
    <row r="163" s="78" customFormat="1" ht="12.75"/>
    <row r="164" s="78" customFormat="1" ht="12.75"/>
    <row r="165" s="78" customFormat="1" ht="12.75"/>
    <row r="166" s="78" customFormat="1" ht="12.75"/>
    <row r="167" s="78" customFormat="1" ht="12.75"/>
    <row r="168" s="78" customFormat="1" ht="12.75"/>
    <row r="169" s="78" customFormat="1" ht="12.75"/>
    <row r="170" s="78" customFormat="1" ht="12.75"/>
    <row r="171" s="78" customFormat="1" ht="12.75"/>
    <row r="172" s="78" customFormat="1" ht="12.75"/>
    <row r="173" s="78" customFormat="1" ht="12.75"/>
    <row r="174" s="78" customFormat="1" ht="12.75"/>
    <row r="175" s="78" customFormat="1" ht="12.75"/>
    <row r="176" s="78" customFormat="1" ht="12.75"/>
    <row r="177" s="78" customFormat="1" ht="12.75"/>
    <row r="178" s="78" customFormat="1" ht="12.75"/>
    <row r="179" s="78" customFormat="1" ht="12.75"/>
    <row r="180" s="78" customFormat="1" ht="12.75"/>
    <row r="181" s="78" customFormat="1" ht="12.75"/>
    <row r="182" s="78" customFormat="1" ht="12.75"/>
    <row r="183" s="78" customFormat="1" ht="12.75"/>
    <row r="184" s="78" customFormat="1" ht="12.75"/>
    <row r="185" s="78" customFormat="1" ht="12.75"/>
    <row r="186" s="78" customFormat="1" ht="12.75"/>
    <row r="187" s="78" customFormat="1" ht="12.75"/>
    <row r="188" s="78" customFormat="1" ht="12.75"/>
    <row r="189" s="78" customFormat="1" ht="12.75"/>
    <row r="190" s="78" customFormat="1" ht="12.75"/>
    <row r="191" s="78" customFormat="1" ht="12.75"/>
    <row r="192" s="78" customFormat="1" ht="12.75"/>
    <row r="193" s="78" customFormat="1" ht="12.75"/>
    <row r="194" s="78" customFormat="1" ht="12.75"/>
    <row r="195" s="78" customFormat="1" ht="12.75"/>
    <row r="196" s="78" customFormat="1" ht="12.75"/>
    <row r="197" s="78" customFormat="1" ht="12.75"/>
    <row r="198" s="78" customFormat="1" ht="12.75"/>
    <row r="199" s="78" customFormat="1" ht="12.75"/>
    <row r="200" s="78" customFormat="1" ht="12.75"/>
    <row r="201" s="78" customFormat="1" ht="12.75"/>
    <row r="202" s="78" customFormat="1" ht="12.75"/>
    <row r="203" s="78" customFormat="1" ht="12.75"/>
    <row r="204" s="78" customFormat="1" ht="12.75"/>
    <row r="205" s="78" customFormat="1" ht="12.75"/>
    <row r="206" s="78" customFormat="1" ht="12.75"/>
    <row r="207" s="78" customFormat="1" ht="12.75"/>
    <row r="208" s="78" customFormat="1" ht="12.75"/>
    <row r="209" s="78" customFormat="1" ht="12.75"/>
    <row r="210" s="78" customFormat="1" ht="12.75"/>
    <row r="211" s="78" customFormat="1" ht="12.75"/>
    <row r="212" s="78" customFormat="1" ht="12.75"/>
    <row r="213" s="78" customFormat="1" ht="12.75"/>
    <row r="214" s="78" customFormat="1" ht="12.75"/>
    <row r="215" s="78" customFormat="1" ht="12.75"/>
    <row r="216" s="78" customFormat="1" ht="12.75"/>
    <row r="217" s="78" customFormat="1" ht="12.75"/>
    <row r="218" s="78" customFormat="1" ht="12.75"/>
    <row r="219" s="78" customFormat="1" ht="12.75"/>
    <row r="220" s="78" customFormat="1" ht="12.75"/>
    <row r="221" s="78" customFormat="1" ht="12.75"/>
    <row r="222" s="78" customFormat="1" ht="12.75"/>
    <row r="223" s="78" customFormat="1" ht="12.75"/>
    <row r="224" s="78" customFormat="1" ht="12.75"/>
    <row r="225" s="78" customFormat="1" ht="12.75"/>
    <row r="226" s="78" customFormat="1" ht="12.75"/>
    <row r="227" s="78" customFormat="1" ht="12.75"/>
    <row r="228" s="78" customFormat="1" ht="12.7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:IV4"/>
    </sheetView>
  </sheetViews>
  <sheetFormatPr defaultColWidth="9.140625" defaultRowHeight="12.75"/>
  <cols>
    <col min="1" max="16384" width="9.140625" style="78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:IV3"/>
    </sheetView>
  </sheetViews>
  <sheetFormatPr defaultColWidth="9.140625" defaultRowHeight="12.75"/>
  <cols>
    <col min="1" max="16384" width="9.140625" style="78" customWidth="1"/>
  </cols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9"/>
  <sheetViews>
    <sheetView workbookViewId="0" topLeftCell="A1">
      <selection activeCell="C17" sqref="C17"/>
    </sheetView>
  </sheetViews>
  <sheetFormatPr defaultColWidth="9.140625" defaultRowHeight="12.75"/>
  <cols>
    <col min="1" max="1" width="2.140625" style="10" bestFit="1" customWidth="1"/>
    <col min="2" max="2" width="9.28125" style="10" bestFit="1" customWidth="1"/>
    <col min="3" max="3" width="72.421875" style="10" bestFit="1" customWidth="1"/>
    <col min="4" max="4" width="9.140625" style="10" customWidth="1"/>
    <col min="5" max="5" width="13.28125" style="10" customWidth="1"/>
    <col min="6" max="6" width="13.57421875" style="10" customWidth="1"/>
    <col min="7" max="8" width="13.28125" style="10" customWidth="1"/>
    <col min="9" max="16" width="11.8515625" style="10" bestFit="1" customWidth="1"/>
    <col min="17" max="16384" width="9.140625" style="10" customWidth="1"/>
  </cols>
  <sheetData>
    <row r="1" ht="12.75">
      <c r="B1" s="12"/>
    </row>
    <row r="2" spans="2:16" s="9" customFormat="1" ht="15.75">
      <c r="B2" s="13"/>
      <c r="C2" s="80" t="s">
        <v>115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</row>
    <row r="3" spans="2:16" s="9" customFormat="1" ht="15.75">
      <c r="B3" s="13"/>
      <c r="C3" s="80" t="s">
        <v>116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</row>
    <row r="4" ht="4.5" customHeight="1" thickBot="1">
      <c r="B4" s="12"/>
    </row>
    <row r="5" spans="3:16" ht="12.75">
      <c r="C5" s="10" t="s">
        <v>52</v>
      </c>
      <c r="E5" s="31">
        <f>SUM(E46,E67,E71)</f>
        <v>4204</v>
      </c>
      <c r="F5" s="31">
        <f aca="true" t="shared" si="0" ref="F5:P5">SUM(F46,F67,F71)</f>
        <v>4204</v>
      </c>
      <c r="G5" s="31">
        <f t="shared" si="0"/>
        <v>4104</v>
      </c>
      <c r="H5" s="31">
        <f t="shared" si="0"/>
        <v>4004</v>
      </c>
      <c r="I5" s="31">
        <f t="shared" si="0"/>
        <v>4004</v>
      </c>
      <c r="J5" s="31">
        <f t="shared" si="0"/>
        <v>4004</v>
      </c>
      <c r="K5" s="31">
        <f t="shared" si="0"/>
        <v>4004</v>
      </c>
      <c r="L5" s="31">
        <f t="shared" si="0"/>
        <v>0</v>
      </c>
      <c r="M5" s="31">
        <f t="shared" si="0"/>
        <v>0</v>
      </c>
      <c r="N5" s="31">
        <f t="shared" si="0"/>
        <v>0</v>
      </c>
      <c r="O5" s="31">
        <f t="shared" si="0"/>
        <v>0</v>
      </c>
      <c r="P5" s="31">
        <f t="shared" si="0"/>
        <v>0</v>
      </c>
    </row>
    <row r="6" spans="3:16" ht="13.5" thickBot="1">
      <c r="C6" s="10" t="s">
        <v>51</v>
      </c>
      <c r="E6" s="34">
        <v>4400</v>
      </c>
      <c r="F6" s="35">
        <v>4400</v>
      </c>
      <c r="G6" s="35">
        <v>4300</v>
      </c>
      <c r="H6" s="35">
        <v>4300</v>
      </c>
      <c r="I6" s="35">
        <v>4300</v>
      </c>
      <c r="J6" s="35">
        <v>4300</v>
      </c>
      <c r="K6" s="35">
        <v>4300</v>
      </c>
      <c r="L6" s="35">
        <v>4300</v>
      </c>
      <c r="M6" s="35">
        <v>4300</v>
      </c>
      <c r="N6" s="35">
        <v>4300</v>
      </c>
      <c r="O6" s="35">
        <v>4300</v>
      </c>
      <c r="P6" s="36">
        <v>4300</v>
      </c>
    </row>
    <row r="7" spans="5:16" ht="13.5" thickBot="1"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3:16" ht="12.75">
      <c r="C8" s="10" t="s">
        <v>54</v>
      </c>
      <c r="E8" s="31">
        <v>120</v>
      </c>
      <c r="F8" s="32">
        <v>120</v>
      </c>
      <c r="G8" s="32">
        <v>120</v>
      </c>
      <c r="H8" s="32">
        <v>120</v>
      </c>
      <c r="I8" s="32">
        <v>120</v>
      </c>
      <c r="J8" s="32">
        <v>120</v>
      </c>
      <c r="K8" s="32">
        <v>120</v>
      </c>
      <c r="L8" s="32"/>
      <c r="M8" s="32"/>
      <c r="N8" s="32"/>
      <c r="O8" s="32"/>
      <c r="P8" s="33"/>
    </row>
    <row r="9" spans="3:16" ht="13.5" thickBot="1">
      <c r="C9" s="10" t="s">
        <v>53</v>
      </c>
      <c r="E9" s="34">
        <v>120</v>
      </c>
      <c r="F9" s="35">
        <v>120</v>
      </c>
      <c r="G9" s="35">
        <v>120</v>
      </c>
      <c r="H9" s="35">
        <v>120</v>
      </c>
      <c r="I9" s="35">
        <v>120</v>
      </c>
      <c r="J9" s="35">
        <v>120</v>
      </c>
      <c r="K9" s="35">
        <v>120</v>
      </c>
      <c r="L9" s="35">
        <v>120</v>
      </c>
      <c r="M9" s="35">
        <v>120</v>
      </c>
      <c r="N9" s="35">
        <v>120</v>
      </c>
      <c r="O9" s="35">
        <v>120</v>
      </c>
      <c r="P9" s="36">
        <v>120</v>
      </c>
    </row>
    <row r="10" spans="5:16" ht="13.5" thickBot="1"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3:16" ht="12.75">
      <c r="C11" s="10" t="s">
        <v>57</v>
      </c>
      <c r="E11" s="31">
        <v>285</v>
      </c>
      <c r="F11" s="32">
        <v>285</v>
      </c>
      <c r="G11" s="32">
        <v>285</v>
      </c>
      <c r="H11" s="32">
        <v>285</v>
      </c>
      <c r="I11" s="32">
        <v>285</v>
      </c>
      <c r="J11" s="32">
        <v>285</v>
      </c>
      <c r="K11" s="32">
        <v>285</v>
      </c>
      <c r="L11" s="32"/>
      <c r="M11" s="32"/>
      <c r="N11" s="32"/>
      <c r="O11" s="32"/>
      <c r="P11" s="33"/>
    </row>
    <row r="12" spans="3:16" ht="13.5" thickBot="1">
      <c r="C12" s="10" t="s">
        <v>55</v>
      </c>
      <c r="E12" s="34">
        <v>300</v>
      </c>
      <c r="F12" s="35">
        <v>300</v>
      </c>
      <c r="G12" s="35">
        <v>300</v>
      </c>
      <c r="H12" s="35">
        <v>300</v>
      </c>
      <c r="I12" s="35">
        <v>300</v>
      </c>
      <c r="J12" s="35">
        <v>300</v>
      </c>
      <c r="K12" s="35">
        <v>300</v>
      </c>
      <c r="L12" s="35">
        <v>300</v>
      </c>
      <c r="M12" s="35">
        <v>300</v>
      </c>
      <c r="N12" s="35">
        <v>300</v>
      </c>
      <c r="O12" s="35">
        <v>300</v>
      </c>
      <c r="P12" s="36">
        <v>300</v>
      </c>
    </row>
    <row r="13" spans="5:16" ht="13.5" thickBot="1"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3:16" ht="12.75">
      <c r="C14" s="10" t="s">
        <v>56</v>
      </c>
      <c r="E14" s="31">
        <v>120</v>
      </c>
      <c r="F14" s="32">
        <v>120</v>
      </c>
      <c r="G14" s="32">
        <v>120</v>
      </c>
      <c r="H14" s="32">
        <v>120</v>
      </c>
      <c r="I14" s="32">
        <v>120</v>
      </c>
      <c r="J14" s="32">
        <v>120</v>
      </c>
      <c r="K14" s="32">
        <v>120</v>
      </c>
      <c r="L14" s="32"/>
      <c r="M14" s="32"/>
      <c r="N14" s="32"/>
      <c r="O14" s="32"/>
      <c r="P14" s="33"/>
    </row>
    <row r="15" spans="3:16" ht="13.5" thickBot="1">
      <c r="C15" s="10" t="s">
        <v>58</v>
      </c>
      <c r="E15" s="34">
        <v>120</v>
      </c>
      <c r="F15" s="35">
        <v>120</v>
      </c>
      <c r="G15" s="35">
        <v>120</v>
      </c>
      <c r="H15" s="35">
        <v>120</v>
      </c>
      <c r="I15" s="35">
        <v>120</v>
      </c>
      <c r="J15" s="35">
        <v>120</v>
      </c>
      <c r="K15" s="35">
        <v>120</v>
      </c>
      <c r="L15" s="35">
        <v>120</v>
      </c>
      <c r="M15" s="35">
        <v>120</v>
      </c>
      <c r="N15" s="35">
        <v>120</v>
      </c>
      <c r="O15" s="35">
        <v>120</v>
      </c>
      <c r="P15" s="36">
        <v>120</v>
      </c>
    </row>
    <row r="16" spans="5:16" ht="12.75"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3:16" ht="12.75">
      <c r="C17" s="10" t="s">
        <v>94</v>
      </c>
      <c r="E17" s="17">
        <f aca="true" t="shared" si="1" ref="E17:P17">SUM(E14,E11,E8,E5)+D17</f>
        <v>4729</v>
      </c>
      <c r="F17" s="17">
        <f t="shared" si="1"/>
        <v>9458</v>
      </c>
      <c r="G17" s="17">
        <f t="shared" si="1"/>
        <v>14087</v>
      </c>
      <c r="H17" s="17">
        <f t="shared" si="1"/>
        <v>18616</v>
      </c>
      <c r="I17" s="17">
        <f t="shared" si="1"/>
        <v>23145</v>
      </c>
      <c r="J17" s="17">
        <f t="shared" si="1"/>
        <v>27674</v>
      </c>
      <c r="K17" s="17">
        <f t="shared" si="1"/>
        <v>32203</v>
      </c>
      <c r="L17" s="17">
        <f t="shared" si="1"/>
        <v>32203</v>
      </c>
      <c r="M17" s="17">
        <f t="shared" si="1"/>
        <v>32203</v>
      </c>
      <c r="N17" s="17">
        <f t="shared" si="1"/>
        <v>32203</v>
      </c>
      <c r="O17" s="17">
        <f t="shared" si="1"/>
        <v>32203</v>
      </c>
      <c r="P17" s="17">
        <f t="shared" si="1"/>
        <v>32203</v>
      </c>
    </row>
    <row r="18" spans="3:16" ht="12.75">
      <c r="C18" s="10" t="s">
        <v>95</v>
      </c>
      <c r="E18" s="17">
        <f aca="true" t="shared" si="2" ref="E18:P18">SUM(E15,E12,E9,E6)+D18</f>
        <v>4940</v>
      </c>
      <c r="F18" s="17">
        <f t="shared" si="2"/>
        <v>9880</v>
      </c>
      <c r="G18" s="17">
        <f t="shared" si="2"/>
        <v>14720</v>
      </c>
      <c r="H18" s="17">
        <f t="shared" si="2"/>
        <v>19560</v>
      </c>
      <c r="I18" s="17">
        <f t="shared" si="2"/>
        <v>24400</v>
      </c>
      <c r="J18" s="17">
        <f t="shared" si="2"/>
        <v>29240</v>
      </c>
      <c r="K18" s="17">
        <f t="shared" si="2"/>
        <v>34080</v>
      </c>
      <c r="L18" s="17">
        <f t="shared" si="2"/>
        <v>38920</v>
      </c>
      <c r="M18" s="17">
        <f t="shared" si="2"/>
        <v>43760</v>
      </c>
      <c r="N18" s="17">
        <f t="shared" si="2"/>
        <v>48600</v>
      </c>
      <c r="O18" s="17">
        <f t="shared" si="2"/>
        <v>53440</v>
      </c>
      <c r="P18" s="17">
        <f t="shared" si="2"/>
        <v>58280</v>
      </c>
    </row>
    <row r="19" spans="3:16" ht="13.5" thickBot="1">
      <c r="C19" s="37" t="s">
        <v>60</v>
      </c>
      <c r="E19" s="14">
        <f>IF(E17/(E18*$B20)&gt;1,1000000,0)</f>
        <v>1000000</v>
      </c>
      <c r="F19" s="14">
        <f aca="true" t="shared" si="3" ref="F19:P19">IF(F17/(F18*$B20)&gt;1,1000000,0)</f>
        <v>1000000</v>
      </c>
      <c r="G19" s="14">
        <f t="shared" si="3"/>
        <v>1000000</v>
      </c>
      <c r="H19" s="14">
        <f t="shared" si="3"/>
        <v>1000000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</row>
    <row r="20" spans="1:3" ht="13.5" thickBot="1">
      <c r="A20" s="11" t="s">
        <v>28</v>
      </c>
      <c r="B20" s="8">
        <v>0.95</v>
      </c>
      <c r="C20" s="10" t="s">
        <v>59</v>
      </c>
    </row>
    <row r="22" spans="3:16" ht="12.75">
      <c r="C22" s="9" t="s">
        <v>61</v>
      </c>
      <c r="E22" s="15">
        <f>AVERAGE(E19)</f>
        <v>1000000</v>
      </c>
      <c r="F22" s="15">
        <f aca="true" t="shared" si="4" ref="F22:P22">AVERAGE(F19)</f>
        <v>1000000</v>
      </c>
      <c r="G22" s="15">
        <f t="shared" si="4"/>
        <v>1000000</v>
      </c>
      <c r="H22" s="15">
        <f t="shared" si="4"/>
        <v>1000000</v>
      </c>
      <c r="I22" s="15">
        <f t="shared" si="4"/>
        <v>0</v>
      </c>
      <c r="J22" s="15">
        <f t="shared" si="4"/>
        <v>0</v>
      </c>
      <c r="K22" s="15">
        <f t="shared" si="4"/>
        <v>0</v>
      </c>
      <c r="L22" s="15">
        <f t="shared" si="4"/>
        <v>0</v>
      </c>
      <c r="M22" s="15">
        <f t="shared" si="4"/>
        <v>0</v>
      </c>
      <c r="N22" s="15">
        <f t="shared" si="4"/>
        <v>0</v>
      </c>
      <c r="O22" s="15">
        <f t="shared" si="4"/>
        <v>0</v>
      </c>
      <c r="P22" s="15">
        <f t="shared" si="4"/>
        <v>0</v>
      </c>
    </row>
    <row r="23" spans="3:16" ht="12.75">
      <c r="C23" s="9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3:16" ht="12.75">
      <c r="C24" s="9" t="s">
        <v>84</v>
      </c>
      <c r="E24" s="15">
        <v>31</v>
      </c>
      <c r="F24" s="15">
        <v>28</v>
      </c>
      <c r="G24" s="15">
        <v>31</v>
      </c>
      <c r="H24" s="15">
        <v>30</v>
      </c>
      <c r="I24" s="15">
        <v>31</v>
      </c>
      <c r="J24" s="15">
        <v>30</v>
      </c>
      <c r="K24" s="15">
        <v>31</v>
      </c>
      <c r="L24" s="15">
        <v>31</v>
      </c>
      <c r="M24" s="15">
        <v>30</v>
      </c>
      <c r="N24" s="15">
        <v>31</v>
      </c>
      <c r="O24" s="15">
        <v>30</v>
      </c>
      <c r="P24" s="15">
        <v>31</v>
      </c>
    </row>
    <row r="27" spans="2:16" ht="12.7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2.75">
      <c r="B28" s="42"/>
      <c r="C28" s="43" t="s">
        <v>62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2:16" ht="12.75">
      <c r="B29" s="42"/>
      <c r="C29" s="42" t="s">
        <v>63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2:16" ht="12.75">
      <c r="B30" s="42"/>
      <c r="C30" s="39" t="s">
        <v>19</v>
      </c>
      <c r="D30" s="39"/>
      <c r="E30" s="39">
        <f>SUM(E89,E118)</f>
        <v>860</v>
      </c>
      <c r="F30" s="39">
        <f aca="true" t="shared" si="5" ref="F30:P30">SUM(F89,F118)</f>
        <v>860</v>
      </c>
      <c r="G30" s="39">
        <f t="shared" si="5"/>
        <v>860</v>
      </c>
      <c r="H30" s="39">
        <f t="shared" si="5"/>
        <v>860</v>
      </c>
      <c r="I30" s="39">
        <f t="shared" si="5"/>
        <v>860</v>
      </c>
      <c r="J30" s="39">
        <f t="shared" si="5"/>
        <v>860</v>
      </c>
      <c r="K30" s="39">
        <f t="shared" si="5"/>
        <v>860</v>
      </c>
      <c r="L30" s="39">
        <f t="shared" si="5"/>
        <v>0</v>
      </c>
      <c r="M30" s="39">
        <f t="shared" si="5"/>
        <v>0</v>
      </c>
      <c r="N30" s="39">
        <f t="shared" si="5"/>
        <v>0</v>
      </c>
      <c r="O30" s="39">
        <f t="shared" si="5"/>
        <v>0</v>
      </c>
      <c r="P30" s="39">
        <f t="shared" si="5"/>
        <v>0</v>
      </c>
    </row>
    <row r="31" spans="2:16" ht="12.75">
      <c r="B31" s="42"/>
      <c r="C31" s="38" t="s">
        <v>20</v>
      </c>
      <c r="D31" s="38"/>
      <c r="E31" s="38">
        <f>SUM(E90,E119)</f>
        <v>172</v>
      </c>
      <c r="F31" s="38">
        <f aca="true" t="shared" si="6" ref="F31:P31">SUM(F90,F119)</f>
        <v>172</v>
      </c>
      <c r="G31" s="38">
        <f t="shared" si="6"/>
        <v>172</v>
      </c>
      <c r="H31" s="38">
        <f t="shared" si="6"/>
        <v>172</v>
      </c>
      <c r="I31" s="38">
        <f t="shared" si="6"/>
        <v>172</v>
      </c>
      <c r="J31" s="38">
        <f t="shared" si="6"/>
        <v>172</v>
      </c>
      <c r="K31" s="38">
        <f t="shared" si="6"/>
        <v>172</v>
      </c>
      <c r="L31" s="38">
        <f t="shared" si="6"/>
        <v>0</v>
      </c>
      <c r="M31" s="38">
        <f t="shared" si="6"/>
        <v>0</v>
      </c>
      <c r="N31" s="38">
        <f t="shared" si="6"/>
        <v>0</v>
      </c>
      <c r="O31" s="38">
        <f t="shared" si="6"/>
        <v>0</v>
      </c>
      <c r="P31" s="38">
        <f t="shared" si="6"/>
        <v>0</v>
      </c>
    </row>
    <row r="32" spans="2:16" ht="12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2.75">
      <c r="B33" s="42"/>
      <c r="C33" s="38" t="s">
        <v>21</v>
      </c>
      <c r="D33" s="38"/>
      <c r="E33" s="38">
        <f>SUM(E92,E121)</f>
        <v>323</v>
      </c>
      <c r="F33" s="38">
        <f aca="true" t="shared" si="7" ref="F33:P33">SUM(F92,F121)</f>
        <v>323</v>
      </c>
      <c r="G33" s="38">
        <f t="shared" si="7"/>
        <v>323</v>
      </c>
      <c r="H33" s="38">
        <f t="shared" si="7"/>
        <v>323</v>
      </c>
      <c r="I33" s="38">
        <f t="shared" si="7"/>
        <v>323</v>
      </c>
      <c r="J33" s="38">
        <f t="shared" si="7"/>
        <v>323</v>
      </c>
      <c r="K33" s="38">
        <f t="shared" si="7"/>
        <v>323</v>
      </c>
      <c r="L33" s="38">
        <f t="shared" si="7"/>
        <v>0</v>
      </c>
      <c r="M33" s="38">
        <f t="shared" si="7"/>
        <v>0</v>
      </c>
      <c r="N33" s="38">
        <f t="shared" si="7"/>
        <v>0</v>
      </c>
      <c r="O33" s="38">
        <f t="shared" si="7"/>
        <v>0</v>
      </c>
      <c r="P33" s="38">
        <f t="shared" si="7"/>
        <v>0</v>
      </c>
    </row>
    <row r="34" spans="2:16" ht="12.75">
      <c r="B34" s="42"/>
      <c r="C34" s="40" t="s">
        <v>22</v>
      </c>
      <c r="D34" s="40"/>
      <c r="E34" s="40">
        <f>SUM(E93,E122)</f>
        <v>76</v>
      </c>
      <c r="F34" s="40">
        <f aca="true" t="shared" si="8" ref="F34:P34">SUM(F93,F122)</f>
        <v>76</v>
      </c>
      <c r="G34" s="40">
        <f t="shared" si="8"/>
        <v>76</v>
      </c>
      <c r="H34" s="40">
        <f t="shared" si="8"/>
        <v>76</v>
      </c>
      <c r="I34" s="40">
        <f t="shared" si="8"/>
        <v>76</v>
      </c>
      <c r="J34" s="40">
        <f t="shared" si="8"/>
        <v>76</v>
      </c>
      <c r="K34" s="40">
        <f t="shared" si="8"/>
        <v>76</v>
      </c>
      <c r="L34" s="40">
        <f t="shared" si="8"/>
        <v>0</v>
      </c>
      <c r="M34" s="40">
        <f t="shared" si="8"/>
        <v>0</v>
      </c>
      <c r="N34" s="40">
        <f t="shared" si="8"/>
        <v>0</v>
      </c>
      <c r="O34" s="40">
        <f t="shared" si="8"/>
        <v>0</v>
      </c>
      <c r="P34" s="40">
        <f t="shared" si="8"/>
        <v>0</v>
      </c>
    </row>
    <row r="35" spans="2:16" ht="12.75">
      <c r="B35" s="42"/>
      <c r="C35" s="40" t="s">
        <v>23</v>
      </c>
      <c r="D35" s="40"/>
      <c r="E35" s="40">
        <f>SUM(E94,E123)</f>
        <v>660</v>
      </c>
      <c r="F35" s="40">
        <f aca="true" t="shared" si="9" ref="F35:P35">SUM(F94,F123)</f>
        <v>640</v>
      </c>
      <c r="G35" s="40">
        <f t="shared" si="9"/>
        <v>620</v>
      </c>
      <c r="H35" s="40">
        <f t="shared" si="9"/>
        <v>600</v>
      </c>
      <c r="I35" s="40">
        <f t="shared" si="9"/>
        <v>580</v>
      </c>
      <c r="J35" s="40">
        <f t="shared" si="9"/>
        <v>560</v>
      </c>
      <c r="K35" s="40">
        <f t="shared" si="9"/>
        <v>540</v>
      </c>
      <c r="L35" s="40">
        <f t="shared" si="9"/>
        <v>0</v>
      </c>
      <c r="M35" s="40">
        <f t="shared" si="9"/>
        <v>0</v>
      </c>
      <c r="N35" s="40">
        <f t="shared" si="9"/>
        <v>0</v>
      </c>
      <c r="O35" s="40">
        <f t="shared" si="9"/>
        <v>0</v>
      </c>
      <c r="P35" s="40">
        <f t="shared" si="9"/>
        <v>0</v>
      </c>
    </row>
    <row r="36" spans="2:16" ht="12.75">
      <c r="B36" s="42"/>
      <c r="C36" s="41" t="s">
        <v>24</v>
      </c>
      <c r="D36" s="41"/>
      <c r="E36" s="41">
        <f>SUM(E95,E124)</f>
        <v>1</v>
      </c>
      <c r="F36" s="41">
        <f aca="true" t="shared" si="10" ref="F36:P36">SUM(F95,F124)</f>
        <v>1</v>
      </c>
      <c r="G36" s="41">
        <f t="shared" si="10"/>
        <v>1</v>
      </c>
      <c r="H36" s="41">
        <f t="shared" si="10"/>
        <v>1</v>
      </c>
      <c r="I36" s="41">
        <f t="shared" si="10"/>
        <v>1</v>
      </c>
      <c r="J36" s="41">
        <f t="shared" si="10"/>
        <v>1</v>
      </c>
      <c r="K36" s="41">
        <f t="shared" si="10"/>
        <v>1</v>
      </c>
      <c r="L36" s="41">
        <f t="shared" si="10"/>
        <v>0</v>
      </c>
      <c r="M36" s="41">
        <f t="shared" si="10"/>
        <v>0</v>
      </c>
      <c r="N36" s="41">
        <f t="shared" si="10"/>
        <v>0</v>
      </c>
      <c r="O36" s="41">
        <f t="shared" si="10"/>
        <v>0</v>
      </c>
      <c r="P36" s="41">
        <f t="shared" si="10"/>
        <v>0</v>
      </c>
    </row>
    <row r="37" spans="2:16" ht="12.75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2:16" ht="12.75">
      <c r="B38" s="42"/>
      <c r="C38" s="42" t="s">
        <v>64</v>
      </c>
      <c r="D38" s="42"/>
      <c r="E38" s="55">
        <f>SUM(E30,E33:E34)/SUM(E96,E125)</f>
        <v>0.6018164435946463</v>
      </c>
      <c r="F38" s="55">
        <f aca="true" t="shared" si="11" ref="F38:P38">SUM(F30,F33:F34)/SUM(F96,F125)</f>
        <v>0.6076254826254827</v>
      </c>
      <c r="G38" s="55">
        <f t="shared" si="11"/>
        <v>0.6135477582846004</v>
      </c>
      <c r="H38" s="55">
        <f t="shared" si="11"/>
        <v>0.6195866141732284</v>
      </c>
      <c r="I38" s="55">
        <f t="shared" si="11"/>
        <v>0.6257455268389662</v>
      </c>
      <c r="J38" s="55">
        <f t="shared" si="11"/>
        <v>0.6320281124497992</v>
      </c>
      <c r="K38" s="55">
        <f t="shared" si="11"/>
        <v>0.6384381338742393</v>
      </c>
      <c r="L38" s="55" t="e">
        <f t="shared" si="11"/>
        <v>#DIV/0!</v>
      </c>
      <c r="M38" s="55" t="e">
        <f t="shared" si="11"/>
        <v>#DIV/0!</v>
      </c>
      <c r="N38" s="55" t="e">
        <f t="shared" si="11"/>
        <v>#DIV/0!</v>
      </c>
      <c r="O38" s="55" t="e">
        <f t="shared" si="11"/>
        <v>#DIV/0!</v>
      </c>
      <c r="P38" s="55" t="e">
        <f t="shared" si="11"/>
        <v>#DIV/0!</v>
      </c>
    </row>
    <row r="39" spans="2:16" ht="12.75">
      <c r="B39" s="42"/>
      <c r="C39" s="42" t="s">
        <v>65</v>
      </c>
      <c r="D39" s="42"/>
      <c r="E39" s="55">
        <f>SUM(E31,E35)/SUM(E96,E125)</f>
        <v>0.3977055449330784</v>
      </c>
      <c r="F39" s="55">
        <f aca="true" t="shared" si="12" ref="F39:P39">SUM(F31,F35)/SUM(F96,F125)</f>
        <v>0.3918918918918919</v>
      </c>
      <c r="G39" s="55">
        <f t="shared" si="12"/>
        <v>0.38596491228070173</v>
      </c>
      <c r="H39" s="55">
        <f t="shared" si="12"/>
        <v>0.3799212598425197</v>
      </c>
      <c r="I39" s="55">
        <f t="shared" si="12"/>
        <v>0.37375745526838966</v>
      </c>
      <c r="J39" s="55">
        <f t="shared" si="12"/>
        <v>0.3674698795180723</v>
      </c>
      <c r="K39" s="55">
        <f t="shared" si="12"/>
        <v>0.36105476673427994</v>
      </c>
      <c r="L39" s="55" t="e">
        <f t="shared" si="12"/>
        <v>#DIV/0!</v>
      </c>
      <c r="M39" s="55" t="e">
        <f t="shared" si="12"/>
        <v>#DIV/0!</v>
      </c>
      <c r="N39" s="55" t="e">
        <f t="shared" si="12"/>
        <v>#DIV/0!</v>
      </c>
      <c r="O39" s="55" t="e">
        <f t="shared" si="12"/>
        <v>#DIV/0!</v>
      </c>
      <c r="P39" s="55" t="e">
        <f t="shared" si="12"/>
        <v>#DIV/0!</v>
      </c>
    </row>
    <row r="40" spans="2:16" ht="12.75">
      <c r="B40" s="42"/>
      <c r="C40" s="42" t="s">
        <v>66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2:16" ht="13.5" thickBot="1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2:16" ht="13.5" thickBot="1">
      <c r="B42" s="42"/>
      <c r="C42" s="42"/>
      <c r="D42" s="42"/>
      <c r="E42" s="42"/>
      <c r="F42" s="44" t="s">
        <v>68</v>
      </c>
      <c r="G42" s="51">
        <f>SUM(G75,G104)</f>
        <v>43</v>
      </c>
      <c r="H42" s="42"/>
      <c r="I42" s="42"/>
      <c r="J42" s="42"/>
      <c r="K42" s="42"/>
      <c r="L42" s="42"/>
      <c r="M42" s="42"/>
      <c r="N42" s="42"/>
      <c r="O42" s="42"/>
      <c r="P42" s="42"/>
    </row>
    <row r="43" spans="2:16" ht="12.75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2:16" ht="12.75">
      <c r="B44" s="42"/>
      <c r="C44" s="42" t="s">
        <v>67</v>
      </c>
      <c r="D44" s="42"/>
      <c r="E44" s="61">
        <f>SUM(E33:E36,E30:E31)/$G42</f>
        <v>48.651162790697676</v>
      </c>
      <c r="F44" s="61">
        <f aca="true" t="shared" si="13" ref="F44:P44">SUM(F33:F36,F30:F31)/$G42</f>
        <v>48.18604651162791</v>
      </c>
      <c r="G44" s="61">
        <f t="shared" si="13"/>
        <v>47.72093023255814</v>
      </c>
      <c r="H44" s="61">
        <f t="shared" si="13"/>
        <v>47.25581395348837</v>
      </c>
      <c r="I44" s="61">
        <f t="shared" si="13"/>
        <v>46.7906976744186</v>
      </c>
      <c r="J44" s="61">
        <f t="shared" si="13"/>
        <v>46.325581395348834</v>
      </c>
      <c r="K44" s="61">
        <f t="shared" si="13"/>
        <v>45.86046511627907</v>
      </c>
      <c r="L44" s="61">
        <f t="shared" si="13"/>
        <v>0</v>
      </c>
      <c r="M44" s="61">
        <f t="shared" si="13"/>
        <v>0</v>
      </c>
      <c r="N44" s="61">
        <f t="shared" si="13"/>
        <v>0</v>
      </c>
      <c r="O44" s="61">
        <f t="shared" si="13"/>
        <v>0</v>
      </c>
      <c r="P44" s="61">
        <f t="shared" si="13"/>
        <v>0</v>
      </c>
    </row>
    <row r="45" spans="2:16" ht="12.7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2:16" ht="12.75">
      <c r="B46" s="42"/>
      <c r="C46" s="42" t="s">
        <v>63</v>
      </c>
      <c r="D46" s="42"/>
      <c r="E46" s="42">
        <f>SUM(E33:E36,E30:E31)</f>
        <v>2092</v>
      </c>
      <c r="F46" s="42">
        <f aca="true" t="shared" si="14" ref="F46:P46">SUM(F33:F36,F30:F31)</f>
        <v>2072</v>
      </c>
      <c r="G46" s="42">
        <f t="shared" si="14"/>
        <v>2052</v>
      </c>
      <c r="H46" s="42">
        <f t="shared" si="14"/>
        <v>2032</v>
      </c>
      <c r="I46" s="42">
        <f t="shared" si="14"/>
        <v>2012</v>
      </c>
      <c r="J46" s="42">
        <f t="shared" si="14"/>
        <v>1992</v>
      </c>
      <c r="K46" s="42">
        <f t="shared" si="14"/>
        <v>1972</v>
      </c>
      <c r="L46" s="42">
        <f t="shared" si="14"/>
        <v>0</v>
      </c>
      <c r="M46" s="42">
        <f t="shared" si="14"/>
        <v>0</v>
      </c>
      <c r="N46" s="42">
        <f t="shared" si="14"/>
        <v>0</v>
      </c>
      <c r="O46" s="42">
        <f t="shared" si="14"/>
        <v>0</v>
      </c>
      <c r="P46" s="42">
        <f t="shared" si="14"/>
        <v>0</v>
      </c>
    </row>
    <row r="47" spans="2:16" ht="12.7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2:16" ht="12.7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2:16" ht="12.75">
      <c r="B49" s="45"/>
      <c r="C49" s="47" t="s">
        <v>69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2:16" ht="12.75">
      <c r="B50" s="45"/>
      <c r="C50" s="45" t="s">
        <v>63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spans="2:16" ht="12.75">
      <c r="B51" s="45"/>
      <c r="C51" s="39" t="s">
        <v>19</v>
      </c>
      <c r="D51" s="39"/>
      <c r="E51" s="39">
        <f>SUM(E147,E176)</f>
        <v>620</v>
      </c>
      <c r="F51" s="39">
        <f aca="true" t="shared" si="15" ref="F51:P51">SUM(F147,F176)</f>
        <v>620</v>
      </c>
      <c r="G51" s="39">
        <f t="shared" si="15"/>
        <v>620</v>
      </c>
      <c r="H51" s="39">
        <f t="shared" si="15"/>
        <v>620</v>
      </c>
      <c r="I51" s="39">
        <f t="shared" si="15"/>
        <v>620</v>
      </c>
      <c r="J51" s="39">
        <f t="shared" si="15"/>
        <v>620</v>
      </c>
      <c r="K51" s="39">
        <f t="shared" si="15"/>
        <v>620</v>
      </c>
      <c r="L51" s="39">
        <f t="shared" si="15"/>
        <v>0</v>
      </c>
      <c r="M51" s="39">
        <f t="shared" si="15"/>
        <v>0</v>
      </c>
      <c r="N51" s="39">
        <f t="shared" si="15"/>
        <v>0</v>
      </c>
      <c r="O51" s="39">
        <f t="shared" si="15"/>
        <v>0</v>
      </c>
      <c r="P51" s="39">
        <f t="shared" si="15"/>
        <v>0</v>
      </c>
    </row>
    <row r="52" spans="2:16" ht="12.75">
      <c r="B52" s="45"/>
      <c r="C52" s="38" t="s">
        <v>20</v>
      </c>
      <c r="D52" s="38"/>
      <c r="E52" s="38">
        <f>SUM(E148,E177)</f>
        <v>124</v>
      </c>
      <c r="F52" s="38">
        <f aca="true" t="shared" si="16" ref="F52:P52">SUM(F148,F177)</f>
        <v>136</v>
      </c>
      <c r="G52" s="38">
        <f t="shared" si="16"/>
        <v>124</v>
      </c>
      <c r="H52" s="38">
        <f t="shared" si="16"/>
        <v>136</v>
      </c>
      <c r="I52" s="38">
        <f t="shared" si="16"/>
        <v>124</v>
      </c>
      <c r="J52" s="38">
        <f t="shared" si="16"/>
        <v>136</v>
      </c>
      <c r="K52" s="38">
        <f t="shared" si="16"/>
        <v>124</v>
      </c>
      <c r="L52" s="38">
        <f t="shared" si="16"/>
        <v>0</v>
      </c>
      <c r="M52" s="38">
        <f t="shared" si="16"/>
        <v>0</v>
      </c>
      <c r="N52" s="38">
        <f t="shared" si="16"/>
        <v>0</v>
      </c>
      <c r="O52" s="38">
        <f t="shared" si="16"/>
        <v>0</v>
      </c>
      <c r="P52" s="38">
        <f t="shared" si="16"/>
        <v>0</v>
      </c>
    </row>
    <row r="53" spans="2:16" ht="5.25" customHeight="1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</row>
    <row r="54" spans="2:16" ht="12.75">
      <c r="B54" s="45"/>
      <c r="C54" s="38" t="s">
        <v>21</v>
      </c>
      <c r="D54" s="38"/>
      <c r="E54" s="38">
        <f>SUM(E150,E179)</f>
        <v>224</v>
      </c>
      <c r="F54" s="38">
        <f aca="true" t="shared" si="17" ref="F54:P54">SUM(F150,F179)</f>
        <v>233</v>
      </c>
      <c r="G54" s="38">
        <f t="shared" si="17"/>
        <v>242</v>
      </c>
      <c r="H54" s="38">
        <f t="shared" si="17"/>
        <v>233</v>
      </c>
      <c r="I54" s="38">
        <f t="shared" si="17"/>
        <v>260</v>
      </c>
      <c r="J54" s="38">
        <f t="shared" si="17"/>
        <v>233</v>
      </c>
      <c r="K54" s="38">
        <f t="shared" si="17"/>
        <v>233</v>
      </c>
      <c r="L54" s="38">
        <f t="shared" si="17"/>
        <v>0</v>
      </c>
      <c r="M54" s="38">
        <f t="shared" si="17"/>
        <v>0</v>
      </c>
      <c r="N54" s="38">
        <f t="shared" si="17"/>
        <v>0</v>
      </c>
      <c r="O54" s="38">
        <f t="shared" si="17"/>
        <v>0</v>
      </c>
      <c r="P54" s="38">
        <f t="shared" si="17"/>
        <v>0</v>
      </c>
    </row>
    <row r="55" spans="2:16" ht="12.75">
      <c r="B55" s="45"/>
      <c r="C55" s="40" t="s">
        <v>22</v>
      </c>
      <c r="D55" s="40"/>
      <c r="E55" s="40">
        <f>SUM(E151,E180)</f>
        <v>65</v>
      </c>
      <c r="F55" s="40">
        <f aca="true" t="shared" si="18" ref="F55:P55">SUM(F151,F180)</f>
        <v>65</v>
      </c>
      <c r="G55" s="40">
        <f t="shared" si="18"/>
        <v>65</v>
      </c>
      <c r="H55" s="40">
        <f t="shared" si="18"/>
        <v>65</v>
      </c>
      <c r="I55" s="40">
        <f t="shared" si="18"/>
        <v>65</v>
      </c>
      <c r="J55" s="40">
        <f t="shared" si="18"/>
        <v>65</v>
      </c>
      <c r="K55" s="40">
        <f t="shared" si="18"/>
        <v>65</v>
      </c>
      <c r="L55" s="40">
        <f t="shared" si="18"/>
        <v>0</v>
      </c>
      <c r="M55" s="40">
        <f t="shared" si="18"/>
        <v>0</v>
      </c>
      <c r="N55" s="40">
        <f t="shared" si="18"/>
        <v>0</v>
      </c>
      <c r="O55" s="40">
        <f t="shared" si="18"/>
        <v>0</v>
      </c>
      <c r="P55" s="40">
        <f t="shared" si="18"/>
        <v>0</v>
      </c>
    </row>
    <row r="56" spans="2:16" ht="12.75">
      <c r="B56" s="45"/>
      <c r="C56" s="40" t="s">
        <v>23</v>
      </c>
      <c r="D56" s="40"/>
      <c r="E56" s="40">
        <f>SUM(E152,E181)</f>
        <v>546</v>
      </c>
      <c r="F56" s="40">
        <f>SUM(F152,F181)</f>
        <v>518</v>
      </c>
      <c r="G56" s="40">
        <f aca="true" t="shared" si="19" ref="G56:P56">SUM(G152,G181)</f>
        <v>490</v>
      </c>
      <c r="H56" s="40">
        <f t="shared" si="19"/>
        <v>462</v>
      </c>
      <c r="I56" s="40">
        <f t="shared" si="19"/>
        <v>434</v>
      </c>
      <c r="J56" s="40">
        <f t="shared" si="19"/>
        <v>406</v>
      </c>
      <c r="K56" s="40">
        <f t="shared" si="19"/>
        <v>378</v>
      </c>
      <c r="L56" s="40">
        <f t="shared" si="19"/>
        <v>0</v>
      </c>
      <c r="M56" s="40">
        <f t="shared" si="19"/>
        <v>0</v>
      </c>
      <c r="N56" s="40">
        <f t="shared" si="19"/>
        <v>0</v>
      </c>
      <c r="O56" s="40">
        <f t="shared" si="19"/>
        <v>0</v>
      </c>
      <c r="P56" s="40">
        <f t="shared" si="19"/>
        <v>0</v>
      </c>
    </row>
    <row r="57" spans="2:16" ht="12.75">
      <c r="B57" s="45"/>
      <c r="C57" s="41" t="s">
        <v>24</v>
      </c>
      <c r="D57" s="41"/>
      <c r="E57" s="41">
        <f>SUM(E153,E182)</f>
        <v>1</v>
      </c>
      <c r="F57" s="41">
        <f aca="true" t="shared" si="20" ref="F57:P57">SUM(F153,F182)</f>
        <v>1</v>
      </c>
      <c r="G57" s="41">
        <f t="shared" si="20"/>
        <v>1</v>
      </c>
      <c r="H57" s="41">
        <f t="shared" si="20"/>
        <v>1</v>
      </c>
      <c r="I57" s="41">
        <f t="shared" si="20"/>
        <v>1</v>
      </c>
      <c r="J57" s="41">
        <f t="shared" si="20"/>
        <v>1</v>
      </c>
      <c r="K57" s="41">
        <f t="shared" si="20"/>
        <v>1</v>
      </c>
      <c r="L57" s="41">
        <f t="shared" si="20"/>
        <v>0</v>
      </c>
      <c r="M57" s="41">
        <f t="shared" si="20"/>
        <v>0</v>
      </c>
      <c r="N57" s="41">
        <f t="shared" si="20"/>
        <v>0</v>
      </c>
      <c r="O57" s="41">
        <f t="shared" si="20"/>
        <v>0</v>
      </c>
      <c r="P57" s="41">
        <f t="shared" si="20"/>
        <v>0</v>
      </c>
    </row>
    <row r="58" spans="2:16" ht="12.7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2:16" ht="12.75">
      <c r="B59" s="45"/>
      <c r="C59" s="45" t="s">
        <v>70</v>
      </c>
      <c r="D59" s="45"/>
      <c r="E59" s="59">
        <f>SUM(E51,E54:E55)/SUM(E154,E183)</f>
        <v>0.5753164556962025</v>
      </c>
      <c r="F59" s="59">
        <f aca="true" t="shared" si="21" ref="F59:P59">SUM(F51,F54:F55)/SUM(F154,F183)</f>
        <v>0.5835982199618563</v>
      </c>
      <c r="G59" s="59">
        <f t="shared" si="21"/>
        <v>0.6011673151750972</v>
      </c>
      <c r="H59" s="59">
        <f t="shared" si="21"/>
        <v>0.6051417270929466</v>
      </c>
      <c r="I59" s="59">
        <f t="shared" si="21"/>
        <v>0.6283244680851063</v>
      </c>
      <c r="J59" s="59">
        <f t="shared" si="21"/>
        <v>0.6283367556468172</v>
      </c>
      <c r="K59" s="59">
        <f t="shared" si="21"/>
        <v>0.6460239268121042</v>
      </c>
      <c r="L59" s="59" t="e">
        <f t="shared" si="21"/>
        <v>#DIV/0!</v>
      </c>
      <c r="M59" s="59" t="e">
        <f t="shared" si="21"/>
        <v>#DIV/0!</v>
      </c>
      <c r="N59" s="59" t="e">
        <f t="shared" si="21"/>
        <v>#DIV/0!</v>
      </c>
      <c r="O59" s="59" t="e">
        <f t="shared" si="21"/>
        <v>#DIV/0!</v>
      </c>
      <c r="P59" s="59" t="e">
        <f t="shared" si="21"/>
        <v>#DIV/0!</v>
      </c>
    </row>
    <row r="60" spans="2:16" ht="12.75">
      <c r="B60" s="45"/>
      <c r="C60" s="45" t="s">
        <v>71</v>
      </c>
      <c r="D60" s="45"/>
      <c r="E60" s="59">
        <f>SUM(E52,E56)/SUM(E154,E183)</f>
        <v>0.4240506329113924</v>
      </c>
      <c r="F60" s="59">
        <f aca="true" t="shared" si="22" ref="F60:P60">SUM(F52,F56)/SUM(F154,F183)</f>
        <v>0.4157660521296885</v>
      </c>
      <c r="G60" s="59">
        <f t="shared" si="22"/>
        <v>0.3981841763942931</v>
      </c>
      <c r="H60" s="59">
        <f t="shared" si="22"/>
        <v>0.3941990771259064</v>
      </c>
      <c r="I60" s="59">
        <f t="shared" si="22"/>
        <v>0.37101063829787234</v>
      </c>
      <c r="J60" s="59">
        <f t="shared" si="22"/>
        <v>0.37097878165639975</v>
      </c>
      <c r="K60" s="59">
        <f t="shared" si="22"/>
        <v>0.35327234342012664</v>
      </c>
      <c r="L60" s="59" t="e">
        <f t="shared" si="22"/>
        <v>#DIV/0!</v>
      </c>
      <c r="M60" s="59" t="e">
        <f t="shared" si="22"/>
        <v>#DIV/0!</v>
      </c>
      <c r="N60" s="59" t="e">
        <f t="shared" si="22"/>
        <v>#DIV/0!</v>
      </c>
      <c r="O60" s="59" t="e">
        <f t="shared" si="22"/>
        <v>#DIV/0!</v>
      </c>
      <c r="P60" s="59" t="e">
        <f t="shared" si="22"/>
        <v>#DIV/0!</v>
      </c>
    </row>
    <row r="61" spans="2:16" ht="12.75">
      <c r="B61" s="45"/>
      <c r="C61" s="45" t="s">
        <v>66</v>
      </c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</row>
    <row r="62" spans="2:16" ht="13.5" thickBot="1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</row>
    <row r="63" spans="2:16" ht="13.5" thickBot="1">
      <c r="B63" s="45"/>
      <c r="C63" s="45"/>
      <c r="D63" s="45"/>
      <c r="E63" s="45"/>
      <c r="F63" s="46" t="s">
        <v>68</v>
      </c>
      <c r="G63" s="51">
        <f>SUM(G133,G162)</f>
        <v>31</v>
      </c>
      <c r="H63" s="45"/>
      <c r="I63" s="45"/>
      <c r="J63" s="45"/>
      <c r="K63" s="45"/>
      <c r="L63" s="45"/>
      <c r="M63" s="45"/>
      <c r="N63" s="45"/>
      <c r="O63" s="45"/>
      <c r="P63" s="45"/>
    </row>
    <row r="64" spans="2:16" ht="12.7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2:16" ht="12.75">
      <c r="B65" s="45"/>
      <c r="C65" s="45" t="s">
        <v>72</v>
      </c>
      <c r="D65" s="45"/>
      <c r="E65" s="62">
        <f>SUM(E54:E57,E51:E52)/$G63</f>
        <v>50.96774193548387</v>
      </c>
      <c r="F65" s="62">
        <f aca="true" t="shared" si="23" ref="F65:P65">SUM(F54:F57,F51:F52)/$G63</f>
        <v>50.74193548387097</v>
      </c>
      <c r="G65" s="62">
        <f t="shared" si="23"/>
        <v>49.74193548387097</v>
      </c>
      <c r="H65" s="62">
        <f t="shared" si="23"/>
        <v>48.935483870967744</v>
      </c>
      <c r="I65" s="62">
        <f t="shared" si="23"/>
        <v>48.516129032258064</v>
      </c>
      <c r="J65" s="62">
        <f t="shared" si="23"/>
        <v>47.12903225806452</v>
      </c>
      <c r="K65" s="62">
        <f t="shared" si="23"/>
        <v>45.83870967741935</v>
      </c>
      <c r="L65" s="62">
        <f t="shared" si="23"/>
        <v>0</v>
      </c>
      <c r="M65" s="62">
        <f t="shared" si="23"/>
        <v>0</v>
      </c>
      <c r="N65" s="62">
        <f t="shared" si="23"/>
        <v>0</v>
      </c>
      <c r="O65" s="62">
        <f t="shared" si="23"/>
        <v>0</v>
      </c>
      <c r="P65" s="62">
        <f t="shared" si="23"/>
        <v>0</v>
      </c>
    </row>
    <row r="66" spans="2:16" ht="12.7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</row>
    <row r="67" spans="2:16" ht="12.75">
      <c r="B67" s="45"/>
      <c r="C67" s="45" t="s">
        <v>63</v>
      </c>
      <c r="D67" s="45"/>
      <c r="E67" s="45">
        <f>SUM(E54:E57,E51:E52)</f>
        <v>1580</v>
      </c>
      <c r="F67" s="45">
        <f aca="true" t="shared" si="24" ref="F67:P67">SUM(F54:F57,F51:F52)</f>
        <v>1573</v>
      </c>
      <c r="G67" s="45">
        <f t="shared" si="24"/>
        <v>1542</v>
      </c>
      <c r="H67" s="45">
        <f t="shared" si="24"/>
        <v>1517</v>
      </c>
      <c r="I67" s="45">
        <f t="shared" si="24"/>
        <v>1504</v>
      </c>
      <c r="J67" s="45">
        <f t="shared" si="24"/>
        <v>1461</v>
      </c>
      <c r="K67" s="45">
        <f t="shared" si="24"/>
        <v>1421</v>
      </c>
      <c r="L67" s="45">
        <f t="shared" si="24"/>
        <v>0</v>
      </c>
      <c r="M67" s="45">
        <f t="shared" si="24"/>
        <v>0</v>
      </c>
      <c r="N67" s="45">
        <f t="shared" si="24"/>
        <v>0</v>
      </c>
      <c r="O67" s="45">
        <f t="shared" si="24"/>
        <v>0</v>
      </c>
      <c r="P67" s="45">
        <f t="shared" si="24"/>
        <v>0</v>
      </c>
    </row>
    <row r="68" spans="2:16" ht="12.7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</row>
    <row r="70" ht="12.75">
      <c r="C70" s="10" t="s">
        <v>73</v>
      </c>
    </row>
    <row r="71" spans="3:11" ht="12.75">
      <c r="C71" s="10" t="s">
        <v>74</v>
      </c>
      <c r="E71" s="10">
        <v>532</v>
      </c>
      <c r="F71" s="10">
        <v>559</v>
      </c>
      <c r="G71" s="10">
        <v>510</v>
      </c>
      <c r="H71" s="10">
        <v>455</v>
      </c>
      <c r="I71" s="10">
        <v>488</v>
      </c>
      <c r="J71" s="10">
        <v>551</v>
      </c>
      <c r="K71" s="10">
        <v>611</v>
      </c>
    </row>
    <row r="74" spans="2:16" ht="13.5" thickBot="1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</row>
    <row r="75" spans="2:16" ht="13.5" thickBot="1">
      <c r="B75" s="42"/>
      <c r="C75" s="43" t="s">
        <v>77</v>
      </c>
      <c r="D75" s="42"/>
      <c r="E75" s="42"/>
      <c r="F75" s="44" t="s">
        <v>76</v>
      </c>
      <c r="G75" s="56">
        <v>34</v>
      </c>
      <c r="H75" s="42"/>
      <c r="I75" s="42"/>
      <c r="J75" s="44" t="s">
        <v>82</v>
      </c>
      <c r="K75" s="56">
        <v>18</v>
      </c>
      <c r="L75" s="42" t="s">
        <v>83</v>
      </c>
      <c r="M75" s="42"/>
      <c r="N75" s="42"/>
      <c r="O75" s="42"/>
      <c r="P75" s="42"/>
    </row>
    <row r="76" spans="2:16" ht="12.75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</row>
    <row r="77" spans="2:16" ht="13.5" thickBot="1">
      <c r="B77" s="42"/>
      <c r="C77" s="43" t="s">
        <v>75</v>
      </c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</row>
    <row r="78" spans="2:16" ht="12.75">
      <c r="B78" s="42"/>
      <c r="C78" s="39" t="s">
        <v>19</v>
      </c>
      <c r="D78" s="39"/>
      <c r="E78" s="2">
        <v>340</v>
      </c>
      <c r="F78" s="3">
        <v>340</v>
      </c>
      <c r="G78" s="3">
        <v>340</v>
      </c>
      <c r="H78" s="3">
        <v>340</v>
      </c>
      <c r="I78" s="3">
        <v>340</v>
      </c>
      <c r="J78" s="3">
        <v>340</v>
      </c>
      <c r="K78" s="3">
        <v>340</v>
      </c>
      <c r="L78" s="3"/>
      <c r="M78" s="3"/>
      <c r="N78" s="3"/>
      <c r="O78" s="3"/>
      <c r="P78" s="4"/>
    </row>
    <row r="79" spans="2:16" ht="13.5" thickBot="1">
      <c r="B79" s="42"/>
      <c r="C79" s="38" t="s">
        <v>20</v>
      </c>
      <c r="D79" s="38"/>
      <c r="E79" s="5">
        <v>68</v>
      </c>
      <c r="F79" s="6">
        <v>68</v>
      </c>
      <c r="G79" s="6">
        <v>68</v>
      </c>
      <c r="H79" s="6">
        <v>68</v>
      </c>
      <c r="I79" s="6">
        <v>68</v>
      </c>
      <c r="J79" s="6">
        <v>68</v>
      </c>
      <c r="K79" s="6">
        <v>68</v>
      </c>
      <c r="L79" s="6"/>
      <c r="M79" s="6"/>
      <c r="N79" s="6"/>
      <c r="O79" s="6"/>
      <c r="P79" s="7"/>
    </row>
    <row r="80" spans="2:16" ht="7.5" customHeight="1" thickBot="1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</row>
    <row r="81" spans="2:16" ht="12.75">
      <c r="B81" s="42"/>
      <c r="C81" s="38" t="s">
        <v>21</v>
      </c>
      <c r="D81" s="38"/>
      <c r="E81" s="2">
        <v>170</v>
      </c>
      <c r="F81" s="3">
        <v>170</v>
      </c>
      <c r="G81" s="3">
        <v>170</v>
      </c>
      <c r="H81" s="3">
        <v>170</v>
      </c>
      <c r="I81" s="3">
        <v>170</v>
      </c>
      <c r="J81" s="3">
        <v>170</v>
      </c>
      <c r="K81" s="3">
        <v>170</v>
      </c>
      <c r="L81" s="3"/>
      <c r="M81" s="3"/>
      <c r="N81" s="3"/>
      <c r="O81" s="3"/>
      <c r="P81" s="4"/>
    </row>
    <row r="82" spans="2:16" ht="12.75">
      <c r="B82" s="42"/>
      <c r="C82" s="40" t="s">
        <v>22</v>
      </c>
      <c r="D82" s="40"/>
      <c r="E82" s="21">
        <v>34</v>
      </c>
      <c r="F82" s="1">
        <v>34</v>
      </c>
      <c r="G82" s="1">
        <v>34</v>
      </c>
      <c r="H82" s="1">
        <v>34</v>
      </c>
      <c r="I82" s="1">
        <v>34</v>
      </c>
      <c r="J82" s="1">
        <v>34</v>
      </c>
      <c r="K82" s="1">
        <v>34</v>
      </c>
      <c r="L82" s="1"/>
      <c r="M82" s="1"/>
      <c r="N82" s="1"/>
      <c r="O82" s="1"/>
      <c r="P82" s="22"/>
    </row>
    <row r="83" spans="2:16" ht="12.75">
      <c r="B83" s="42"/>
      <c r="C83" s="40" t="s">
        <v>23</v>
      </c>
      <c r="D83" s="40"/>
      <c r="E83" s="21">
        <v>340</v>
      </c>
      <c r="F83" s="1">
        <v>340</v>
      </c>
      <c r="G83" s="1">
        <v>340</v>
      </c>
      <c r="H83" s="1">
        <v>340</v>
      </c>
      <c r="I83" s="1">
        <v>340</v>
      </c>
      <c r="J83" s="1">
        <v>340</v>
      </c>
      <c r="K83" s="1">
        <v>340</v>
      </c>
      <c r="L83" s="1"/>
      <c r="M83" s="1"/>
      <c r="N83" s="1"/>
      <c r="O83" s="1"/>
      <c r="P83" s="22"/>
    </row>
    <row r="84" spans="2:16" ht="13.5" thickBot="1">
      <c r="B84" s="42"/>
      <c r="C84" s="41" t="s">
        <v>24</v>
      </c>
      <c r="D84" s="41"/>
      <c r="E84" s="48">
        <v>0.5</v>
      </c>
      <c r="F84" s="49">
        <v>0.5</v>
      </c>
      <c r="G84" s="49">
        <v>0.5</v>
      </c>
      <c r="H84" s="49">
        <v>0.5</v>
      </c>
      <c r="I84" s="49">
        <v>0.5</v>
      </c>
      <c r="J84" s="49">
        <v>0.5</v>
      </c>
      <c r="K84" s="49">
        <v>0.5</v>
      </c>
      <c r="L84" s="49"/>
      <c r="M84" s="49"/>
      <c r="N84" s="49"/>
      <c r="O84" s="49"/>
      <c r="P84" s="50"/>
    </row>
    <row r="85" spans="2:16" ht="12.75">
      <c r="B85" s="42"/>
      <c r="C85" s="42" t="s">
        <v>78</v>
      </c>
      <c r="D85" s="42"/>
      <c r="E85" s="52">
        <f>E$24*$G75*$K75</f>
        <v>18972</v>
      </c>
      <c r="F85" s="52">
        <f aca="true" t="shared" si="25" ref="F85:P85">F$24*$G75*$K75</f>
        <v>17136</v>
      </c>
      <c r="G85" s="52">
        <f t="shared" si="25"/>
        <v>18972</v>
      </c>
      <c r="H85" s="52">
        <f t="shared" si="25"/>
        <v>18360</v>
      </c>
      <c r="I85" s="52">
        <f t="shared" si="25"/>
        <v>18972</v>
      </c>
      <c r="J85" s="52">
        <f t="shared" si="25"/>
        <v>18360</v>
      </c>
      <c r="K85" s="52">
        <f t="shared" si="25"/>
        <v>18972</v>
      </c>
      <c r="L85" s="52">
        <f t="shared" si="25"/>
        <v>18972</v>
      </c>
      <c r="M85" s="52">
        <f t="shared" si="25"/>
        <v>18360</v>
      </c>
      <c r="N85" s="52">
        <f t="shared" si="25"/>
        <v>18972</v>
      </c>
      <c r="O85" s="52">
        <f t="shared" si="25"/>
        <v>18360</v>
      </c>
      <c r="P85" s="52">
        <f t="shared" si="25"/>
        <v>18972</v>
      </c>
    </row>
    <row r="86" spans="2:16" ht="12.75">
      <c r="B86" s="42"/>
      <c r="C86" s="43" t="s">
        <v>79</v>
      </c>
      <c r="D86" s="42"/>
      <c r="E86" s="53">
        <f>SUM(E81:E84)/E85*1000000</f>
        <v>28700.189753320683</v>
      </c>
      <c r="F86" s="53">
        <f aca="true" t="shared" si="26" ref="F86:P86">SUM(F81:F83)/F85*1000000</f>
        <v>31746.031746031746</v>
      </c>
      <c r="G86" s="53">
        <f t="shared" si="26"/>
        <v>28673.83512544803</v>
      </c>
      <c r="H86" s="53">
        <f t="shared" si="26"/>
        <v>29629.62962962963</v>
      </c>
      <c r="I86" s="53">
        <f t="shared" si="26"/>
        <v>28673.83512544803</v>
      </c>
      <c r="J86" s="53">
        <f t="shared" si="26"/>
        <v>29629.62962962963</v>
      </c>
      <c r="K86" s="53">
        <f t="shared" si="26"/>
        <v>28673.83512544803</v>
      </c>
      <c r="L86" s="53">
        <f t="shared" si="26"/>
        <v>0</v>
      </c>
      <c r="M86" s="53">
        <f t="shared" si="26"/>
        <v>0</v>
      </c>
      <c r="N86" s="53">
        <f t="shared" si="26"/>
        <v>0</v>
      </c>
      <c r="O86" s="53">
        <f t="shared" si="26"/>
        <v>0</v>
      </c>
      <c r="P86" s="53">
        <f t="shared" si="26"/>
        <v>0</v>
      </c>
    </row>
    <row r="87" spans="2:16" ht="12.75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</row>
    <row r="88" spans="2:16" ht="13.5" thickBot="1">
      <c r="B88" s="42"/>
      <c r="C88" s="43" t="s">
        <v>80</v>
      </c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</row>
    <row r="89" spans="2:16" ht="12.75">
      <c r="B89" s="42"/>
      <c r="C89" s="39" t="s">
        <v>19</v>
      </c>
      <c r="D89" s="39"/>
      <c r="E89" s="2">
        <v>680</v>
      </c>
      <c r="F89" s="3">
        <v>680</v>
      </c>
      <c r="G89" s="3">
        <v>680</v>
      </c>
      <c r="H89" s="3">
        <v>680</v>
      </c>
      <c r="I89" s="3">
        <v>680</v>
      </c>
      <c r="J89" s="3">
        <v>680</v>
      </c>
      <c r="K89" s="3">
        <v>680</v>
      </c>
      <c r="L89" s="3"/>
      <c r="M89" s="3"/>
      <c r="N89" s="3"/>
      <c r="O89" s="3"/>
      <c r="P89" s="4"/>
    </row>
    <row r="90" spans="2:16" ht="13.5" thickBot="1">
      <c r="B90" s="42"/>
      <c r="C90" s="38" t="s">
        <v>20</v>
      </c>
      <c r="D90" s="38"/>
      <c r="E90" s="5">
        <v>136</v>
      </c>
      <c r="F90" s="6">
        <v>136</v>
      </c>
      <c r="G90" s="6">
        <v>136</v>
      </c>
      <c r="H90" s="6">
        <v>136</v>
      </c>
      <c r="I90" s="6">
        <v>136</v>
      </c>
      <c r="J90" s="6">
        <v>136</v>
      </c>
      <c r="K90" s="6">
        <v>136</v>
      </c>
      <c r="L90" s="6"/>
      <c r="M90" s="6"/>
      <c r="N90" s="6"/>
      <c r="O90" s="6"/>
      <c r="P90" s="7"/>
    </row>
    <row r="91" spans="2:16" ht="13.5" thickBot="1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</row>
    <row r="92" spans="2:16" ht="12.75">
      <c r="B92" s="42"/>
      <c r="C92" s="38" t="s">
        <v>21</v>
      </c>
      <c r="D92" s="38"/>
      <c r="E92" s="2">
        <v>255</v>
      </c>
      <c r="F92" s="3">
        <v>255</v>
      </c>
      <c r="G92" s="3">
        <v>255</v>
      </c>
      <c r="H92" s="3">
        <v>255</v>
      </c>
      <c r="I92" s="3">
        <v>255</v>
      </c>
      <c r="J92" s="3">
        <v>255</v>
      </c>
      <c r="K92" s="3">
        <v>255</v>
      </c>
      <c r="L92" s="3"/>
      <c r="M92" s="3"/>
      <c r="N92" s="3"/>
      <c r="O92" s="3"/>
      <c r="P92" s="4"/>
    </row>
    <row r="93" spans="2:16" ht="12.75">
      <c r="B93" s="42"/>
      <c r="C93" s="40" t="s">
        <v>22</v>
      </c>
      <c r="D93" s="40"/>
      <c r="E93" s="21">
        <v>60</v>
      </c>
      <c r="F93" s="1">
        <v>60</v>
      </c>
      <c r="G93" s="1">
        <v>60</v>
      </c>
      <c r="H93" s="1">
        <v>60</v>
      </c>
      <c r="I93" s="1">
        <v>60</v>
      </c>
      <c r="J93" s="1">
        <v>60</v>
      </c>
      <c r="K93" s="1">
        <v>60</v>
      </c>
      <c r="L93" s="1"/>
      <c r="M93" s="1"/>
      <c r="N93" s="1"/>
      <c r="O93" s="1"/>
      <c r="P93" s="22"/>
    </row>
    <row r="94" spans="2:16" ht="12.75">
      <c r="B94" s="42"/>
      <c r="C94" s="40" t="s">
        <v>23</v>
      </c>
      <c r="D94" s="40"/>
      <c r="E94" s="21">
        <v>330</v>
      </c>
      <c r="F94" s="1">
        <v>320</v>
      </c>
      <c r="G94" s="1">
        <v>310</v>
      </c>
      <c r="H94" s="1">
        <v>300</v>
      </c>
      <c r="I94" s="1">
        <v>290</v>
      </c>
      <c r="J94" s="1">
        <v>280</v>
      </c>
      <c r="K94" s="1">
        <v>270</v>
      </c>
      <c r="L94" s="1"/>
      <c r="M94" s="1"/>
      <c r="N94" s="1"/>
      <c r="O94" s="1"/>
      <c r="P94" s="22"/>
    </row>
    <row r="95" spans="2:16" ht="13.5" thickBot="1">
      <c r="B95" s="42"/>
      <c r="C95" s="41" t="s">
        <v>24</v>
      </c>
      <c r="D95" s="41"/>
      <c r="E95" s="48">
        <v>0.5</v>
      </c>
      <c r="F95" s="48">
        <v>0.5</v>
      </c>
      <c r="G95" s="48">
        <v>0.5</v>
      </c>
      <c r="H95" s="48">
        <v>0.5</v>
      </c>
      <c r="I95" s="48">
        <v>0.5</v>
      </c>
      <c r="J95" s="48">
        <v>0.5</v>
      </c>
      <c r="K95" s="48">
        <v>0.5</v>
      </c>
      <c r="L95" s="49"/>
      <c r="M95" s="49"/>
      <c r="N95" s="49"/>
      <c r="O95" s="49"/>
      <c r="P95" s="50"/>
    </row>
    <row r="96" spans="2:16" ht="12.75">
      <c r="B96" s="42"/>
      <c r="C96" s="42" t="s">
        <v>81</v>
      </c>
      <c r="D96" s="42"/>
      <c r="E96" s="52">
        <f aca="true" t="shared" si="27" ref="E96:P96">SUM(E92:E95,E89:E90)</f>
        <v>1461.5</v>
      </c>
      <c r="F96" s="52">
        <f t="shared" si="27"/>
        <v>1451.5</v>
      </c>
      <c r="G96" s="52">
        <f t="shared" si="27"/>
        <v>1441.5</v>
      </c>
      <c r="H96" s="52">
        <f t="shared" si="27"/>
        <v>1431.5</v>
      </c>
      <c r="I96" s="52">
        <f t="shared" si="27"/>
        <v>1421.5</v>
      </c>
      <c r="J96" s="52">
        <f t="shared" si="27"/>
        <v>1411.5</v>
      </c>
      <c r="K96" s="52">
        <f t="shared" si="27"/>
        <v>1401.5</v>
      </c>
      <c r="L96" s="52">
        <f t="shared" si="27"/>
        <v>0</v>
      </c>
      <c r="M96" s="52">
        <f t="shared" si="27"/>
        <v>0</v>
      </c>
      <c r="N96" s="52">
        <f t="shared" si="27"/>
        <v>0</v>
      </c>
      <c r="O96" s="52">
        <f t="shared" si="27"/>
        <v>0</v>
      </c>
      <c r="P96" s="52">
        <f t="shared" si="27"/>
        <v>0</v>
      </c>
    </row>
    <row r="97" spans="2:16" ht="12.75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</row>
    <row r="98" spans="2:16" ht="12.75">
      <c r="B98" s="42"/>
      <c r="C98" s="42" t="s">
        <v>85</v>
      </c>
      <c r="D98" s="42"/>
      <c r="E98" s="55">
        <f>SUM(E92:E93,E89)/E96</f>
        <v>0.6808073896681491</v>
      </c>
      <c r="F98" s="55">
        <f aca="true" t="shared" si="28" ref="F98:P98">SUM(F92:F93,F89)/F96</f>
        <v>0.6854977609369618</v>
      </c>
      <c r="G98" s="55">
        <f t="shared" si="28"/>
        <v>0.6902532084634062</v>
      </c>
      <c r="H98" s="55">
        <f t="shared" si="28"/>
        <v>0.6950750960530911</v>
      </c>
      <c r="I98" s="55">
        <f t="shared" si="28"/>
        <v>0.6999648258881463</v>
      </c>
      <c r="J98" s="55">
        <f t="shared" si="28"/>
        <v>0.7049238398866454</v>
      </c>
      <c r="K98" s="55">
        <f t="shared" si="28"/>
        <v>0.7099536211202283</v>
      </c>
      <c r="L98" s="55" t="e">
        <f t="shared" si="28"/>
        <v>#DIV/0!</v>
      </c>
      <c r="M98" s="55" t="e">
        <f t="shared" si="28"/>
        <v>#DIV/0!</v>
      </c>
      <c r="N98" s="55" t="e">
        <f t="shared" si="28"/>
        <v>#DIV/0!</v>
      </c>
      <c r="O98" s="55" t="e">
        <f t="shared" si="28"/>
        <v>#DIV/0!</v>
      </c>
      <c r="P98" s="55" t="e">
        <f t="shared" si="28"/>
        <v>#DIV/0!</v>
      </c>
    </row>
    <row r="99" spans="2:16" ht="12.75">
      <c r="B99" s="42"/>
      <c r="C99" s="42" t="s">
        <v>86</v>
      </c>
      <c r="D99" s="42"/>
      <c r="E99" s="55">
        <f>SUM(E94:E95,E90)/E96</f>
        <v>0.3191926103318508</v>
      </c>
      <c r="F99" s="55">
        <f aca="true" t="shared" si="29" ref="F99:P99">SUM(F94:F95,F90)/F96</f>
        <v>0.31450223906303826</v>
      </c>
      <c r="G99" s="55">
        <f t="shared" si="29"/>
        <v>0.30974679153659385</v>
      </c>
      <c r="H99" s="55">
        <f t="shared" si="29"/>
        <v>0.30492490394690885</v>
      </c>
      <c r="I99" s="55">
        <f t="shared" si="29"/>
        <v>0.30003517411185365</v>
      </c>
      <c r="J99" s="55">
        <f t="shared" si="29"/>
        <v>0.2950761601133546</v>
      </c>
      <c r="K99" s="55">
        <f t="shared" si="29"/>
        <v>0.2900463788797717</v>
      </c>
      <c r="L99" s="55" t="e">
        <f t="shared" si="29"/>
        <v>#DIV/0!</v>
      </c>
      <c r="M99" s="55" t="e">
        <f t="shared" si="29"/>
        <v>#DIV/0!</v>
      </c>
      <c r="N99" s="55" t="e">
        <f t="shared" si="29"/>
        <v>#DIV/0!</v>
      </c>
      <c r="O99" s="55" t="e">
        <f t="shared" si="29"/>
        <v>#DIV/0!</v>
      </c>
      <c r="P99" s="55" t="e">
        <f t="shared" si="29"/>
        <v>#DIV/0!</v>
      </c>
    </row>
    <row r="100" spans="2:16" ht="12.75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</row>
    <row r="101" spans="2:16" ht="12.75">
      <c r="B101" s="42"/>
      <c r="C101" s="42" t="s">
        <v>87</v>
      </c>
      <c r="D101" s="42"/>
      <c r="E101" s="54">
        <f>E96/$G75</f>
        <v>42.98529411764706</v>
      </c>
      <c r="F101" s="54">
        <f aca="true" t="shared" si="30" ref="F101:P101">F96/$G75</f>
        <v>42.69117647058823</v>
      </c>
      <c r="G101" s="54">
        <f t="shared" si="30"/>
        <v>42.39705882352941</v>
      </c>
      <c r="H101" s="54">
        <f t="shared" si="30"/>
        <v>42.10294117647059</v>
      </c>
      <c r="I101" s="54">
        <f t="shared" si="30"/>
        <v>41.80882352941177</v>
      </c>
      <c r="J101" s="54">
        <f t="shared" si="30"/>
        <v>41.51470588235294</v>
      </c>
      <c r="K101" s="54">
        <f t="shared" si="30"/>
        <v>41.220588235294116</v>
      </c>
      <c r="L101" s="54">
        <f t="shared" si="30"/>
        <v>0</v>
      </c>
      <c r="M101" s="54">
        <f t="shared" si="30"/>
        <v>0</v>
      </c>
      <c r="N101" s="54">
        <f t="shared" si="30"/>
        <v>0</v>
      </c>
      <c r="O101" s="54">
        <f t="shared" si="30"/>
        <v>0</v>
      </c>
      <c r="P101" s="54">
        <f t="shared" si="30"/>
        <v>0</v>
      </c>
    </row>
    <row r="102" spans="2:16" ht="12.75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</row>
    <row r="103" spans="2:16" ht="13.5" thickBot="1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</row>
    <row r="104" spans="2:16" ht="13.5" thickBot="1">
      <c r="B104" s="42"/>
      <c r="C104" s="43" t="s">
        <v>96</v>
      </c>
      <c r="D104" s="42"/>
      <c r="E104" s="42"/>
      <c r="F104" s="44" t="s">
        <v>76</v>
      </c>
      <c r="G104" s="56">
        <v>9</v>
      </c>
      <c r="H104" s="42"/>
      <c r="I104" s="42"/>
      <c r="J104" s="44" t="s">
        <v>82</v>
      </c>
      <c r="K104" s="56">
        <v>18</v>
      </c>
      <c r="L104" s="42" t="s">
        <v>83</v>
      </c>
      <c r="M104" s="42"/>
      <c r="N104" s="42"/>
      <c r="O104" s="42"/>
      <c r="P104" s="42"/>
    </row>
    <row r="105" spans="2:16" ht="12.75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</row>
    <row r="106" spans="2:16" ht="13.5" thickBot="1">
      <c r="B106" s="42"/>
      <c r="C106" s="43" t="s">
        <v>75</v>
      </c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</row>
    <row r="107" spans="2:16" ht="12.75">
      <c r="B107" s="42"/>
      <c r="C107" s="39" t="s">
        <v>19</v>
      </c>
      <c r="D107" s="39"/>
      <c r="E107" s="2">
        <v>90</v>
      </c>
      <c r="F107" s="3">
        <v>90</v>
      </c>
      <c r="G107" s="3">
        <v>90</v>
      </c>
      <c r="H107" s="3">
        <v>90</v>
      </c>
      <c r="I107" s="3">
        <v>90</v>
      </c>
      <c r="J107" s="3">
        <v>90</v>
      </c>
      <c r="K107" s="3">
        <v>90</v>
      </c>
      <c r="L107" s="3"/>
      <c r="M107" s="3"/>
      <c r="N107" s="3"/>
      <c r="O107" s="3"/>
      <c r="P107" s="4"/>
    </row>
    <row r="108" spans="2:16" ht="13.5" thickBot="1">
      <c r="B108" s="42"/>
      <c r="C108" s="38" t="s">
        <v>20</v>
      </c>
      <c r="D108" s="38"/>
      <c r="E108" s="5">
        <v>18</v>
      </c>
      <c r="F108" s="6">
        <v>18</v>
      </c>
      <c r="G108" s="6">
        <v>18</v>
      </c>
      <c r="H108" s="6">
        <v>18</v>
      </c>
      <c r="I108" s="6">
        <v>18</v>
      </c>
      <c r="J108" s="6">
        <v>18</v>
      </c>
      <c r="K108" s="6">
        <v>18</v>
      </c>
      <c r="L108" s="6"/>
      <c r="M108" s="6"/>
      <c r="N108" s="6"/>
      <c r="O108" s="6"/>
      <c r="P108" s="7"/>
    </row>
    <row r="109" spans="2:16" ht="7.5" customHeight="1" thickBot="1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</row>
    <row r="110" spans="2:16" ht="12.75">
      <c r="B110" s="42"/>
      <c r="C110" s="38" t="s">
        <v>21</v>
      </c>
      <c r="D110" s="38"/>
      <c r="E110" s="2">
        <v>45</v>
      </c>
      <c r="F110" s="3">
        <v>45</v>
      </c>
      <c r="G110" s="3">
        <v>45</v>
      </c>
      <c r="H110" s="3">
        <v>45</v>
      </c>
      <c r="I110" s="3">
        <v>45</v>
      </c>
      <c r="J110" s="3">
        <v>45</v>
      </c>
      <c r="K110" s="3">
        <v>45</v>
      </c>
      <c r="L110" s="3"/>
      <c r="M110" s="3"/>
      <c r="N110" s="3"/>
      <c r="O110" s="3"/>
      <c r="P110" s="4"/>
    </row>
    <row r="111" spans="2:16" ht="12.75">
      <c r="B111" s="42"/>
      <c r="C111" s="40" t="s">
        <v>22</v>
      </c>
      <c r="D111" s="40"/>
      <c r="E111" s="21">
        <v>9</v>
      </c>
      <c r="F111" s="1">
        <v>9</v>
      </c>
      <c r="G111" s="1">
        <v>9</v>
      </c>
      <c r="H111" s="1">
        <v>9</v>
      </c>
      <c r="I111" s="1">
        <v>9</v>
      </c>
      <c r="J111" s="1">
        <v>9</v>
      </c>
      <c r="K111" s="1">
        <v>9</v>
      </c>
      <c r="L111" s="1"/>
      <c r="M111" s="1"/>
      <c r="N111" s="1"/>
      <c r="O111" s="1"/>
      <c r="P111" s="22"/>
    </row>
    <row r="112" spans="2:16" ht="12.75">
      <c r="B112" s="42"/>
      <c r="C112" s="40" t="s">
        <v>23</v>
      </c>
      <c r="D112" s="40"/>
      <c r="E112" s="21">
        <v>90</v>
      </c>
      <c r="F112" s="1">
        <v>90</v>
      </c>
      <c r="G112" s="1">
        <v>90</v>
      </c>
      <c r="H112" s="1">
        <v>90</v>
      </c>
      <c r="I112" s="1">
        <v>90</v>
      </c>
      <c r="J112" s="1">
        <v>90</v>
      </c>
      <c r="K112" s="1">
        <v>90</v>
      </c>
      <c r="L112" s="1"/>
      <c r="M112" s="1"/>
      <c r="N112" s="1"/>
      <c r="O112" s="1"/>
      <c r="P112" s="22"/>
    </row>
    <row r="113" spans="2:16" ht="13.5" thickBot="1">
      <c r="B113" s="42"/>
      <c r="C113" s="41" t="s">
        <v>24</v>
      </c>
      <c r="D113" s="41"/>
      <c r="E113" s="48">
        <v>0.5</v>
      </c>
      <c r="F113" s="49">
        <v>0.5</v>
      </c>
      <c r="G113" s="49">
        <v>0.5</v>
      </c>
      <c r="H113" s="49">
        <v>0.5</v>
      </c>
      <c r="I113" s="49">
        <v>0.5</v>
      </c>
      <c r="J113" s="49">
        <v>0.5</v>
      </c>
      <c r="K113" s="49">
        <v>0.5</v>
      </c>
      <c r="L113" s="49"/>
      <c r="M113" s="49"/>
      <c r="N113" s="49"/>
      <c r="O113" s="49"/>
      <c r="P113" s="50"/>
    </row>
    <row r="114" spans="2:16" ht="12.75">
      <c r="B114" s="42"/>
      <c r="C114" s="42" t="s">
        <v>78</v>
      </c>
      <c r="D114" s="42"/>
      <c r="E114" s="52">
        <f>E$24*$G104*$K104</f>
        <v>5022</v>
      </c>
      <c r="F114" s="52">
        <f aca="true" t="shared" si="31" ref="F114:P114">F$24*$G104*$K104</f>
        <v>4536</v>
      </c>
      <c r="G114" s="52">
        <f t="shared" si="31"/>
        <v>5022</v>
      </c>
      <c r="H114" s="52">
        <f t="shared" si="31"/>
        <v>4860</v>
      </c>
      <c r="I114" s="52">
        <f t="shared" si="31"/>
        <v>5022</v>
      </c>
      <c r="J114" s="52">
        <f t="shared" si="31"/>
        <v>4860</v>
      </c>
      <c r="K114" s="52">
        <f t="shared" si="31"/>
        <v>5022</v>
      </c>
      <c r="L114" s="52">
        <f t="shared" si="31"/>
        <v>5022</v>
      </c>
      <c r="M114" s="52">
        <f t="shared" si="31"/>
        <v>4860</v>
      </c>
      <c r="N114" s="52">
        <f t="shared" si="31"/>
        <v>5022</v>
      </c>
      <c r="O114" s="52">
        <f t="shared" si="31"/>
        <v>4860</v>
      </c>
      <c r="P114" s="52">
        <f t="shared" si="31"/>
        <v>5022</v>
      </c>
    </row>
    <row r="115" spans="2:16" ht="12.75">
      <c r="B115" s="42"/>
      <c r="C115" s="43" t="s">
        <v>79</v>
      </c>
      <c r="D115" s="42"/>
      <c r="E115" s="53">
        <f>SUM(E110:E113)/E114*1000000</f>
        <v>28773.397052966946</v>
      </c>
      <c r="F115" s="53">
        <f aca="true" t="shared" si="32" ref="F115:P115">SUM(F110:F112)/F114*1000000</f>
        <v>31746.031746031746</v>
      </c>
      <c r="G115" s="53">
        <f t="shared" si="32"/>
        <v>28673.83512544803</v>
      </c>
      <c r="H115" s="53">
        <f t="shared" si="32"/>
        <v>29629.62962962963</v>
      </c>
      <c r="I115" s="53">
        <f t="shared" si="32"/>
        <v>28673.83512544803</v>
      </c>
      <c r="J115" s="53">
        <f t="shared" si="32"/>
        <v>29629.62962962963</v>
      </c>
      <c r="K115" s="53">
        <f t="shared" si="32"/>
        <v>28673.83512544803</v>
      </c>
      <c r="L115" s="53">
        <f t="shared" si="32"/>
        <v>0</v>
      </c>
      <c r="M115" s="53">
        <f t="shared" si="32"/>
        <v>0</v>
      </c>
      <c r="N115" s="53">
        <f t="shared" si="32"/>
        <v>0</v>
      </c>
      <c r="O115" s="53">
        <f t="shared" si="32"/>
        <v>0</v>
      </c>
      <c r="P115" s="53">
        <f t="shared" si="32"/>
        <v>0</v>
      </c>
    </row>
    <row r="116" spans="2:16" ht="12.75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</row>
    <row r="117" spans="2:16" ht="13.5" thickBot="1">
      <c r="B117" s="42"/>
      <c r="C117" s="43" t="s">
        <v>100</v>
      </c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</row>
    <row r="118" spans="2:16" ht="12.75">
      <c r="B118" s="42"/>
      <c r="C118" s="39" t="s">
        <v>19</v>
      </c>
      <c r="D118" s="39"/>
      <c r="E118" s="2">
        <v>180</v>
      </c>
      <c r="F118" s="3">
        <v>180</v>
      </c>
      <c r="G118" s="3">
        <v>180</v>
      </c>
      <c r="H118" s="3">
        <v>180</v>
      </c>
      <c r="I118" s="3">
        <v>180</v>
      </c>
      <c r="J118" s="3">
        <v>180</v>
      </c>
      <c r="K118" s="3">
        <v>180</v>
      </c>
      <c r="L118" s="3"/>
      <c r="M118" s="3"/>
      <c r="N118" s="3"/>
      <c r="O118" s="3"/>
      <c r="P118" s="4"/>
    </row>
    <row r="119" spans="2:16" ht="13.5" thickBot="1">
      <c r="B119" s="42"/>
      <c r="C119" s="38" t="s">
        <v>20</v>
      </c>
      <c r="D119" s="38"/>
      <c r="E119" s="5">
        <v>36</v>
      </c>
      <c r="F119" s="6">
        <v>36</v>
      </c>
      <c r="G119" s="6">
        <v>36</v>
      </c>
      <c r="H119" s="6">
        <v>36</v>
      </c>
      <c r="I119" s="6">
        <v>36</v>
      </c>
      <c r="J119" s="6">
        <v>36</v>
      </c>
      <c r="K119" s="6">
        <v>36</v>
      </c>
      <c r="L119" s="6"/>
      <c r="M119" s="6"/>
      <c r="N119" s="6"/>
      <c r="O119" s="6"/>
      <c r="P119" s="7"/>
    </row>
    <row r="120" spans="2:16" ht="13.5" thickBot="1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</row>
    <row r="121" spans="2:16" ht="12.75">
      <c r="B121" s="42"/>
      <c r="C121" s="38" t="s">
        <v>21</v>
      </c>
      <c r="D121" s="38"/>
      <c r="E121" s="2">
        <v>68</v>
      </c>
      <c r="F121" s="3">
        <v>68</v>
      </c>
      <c r="G121" s="3">
        <v>68</v>
      </c>
      <c r="H121" s="3">
        <v>68</v>
      </c>
      <c r="I121" s="3">
        <v>68</v>
      </c>
      <c r="J121" s="3">
        <v>68</v>
      </c>
      <c r="K121" s="3">
        <v>68</v>
      </c>
      <c r="L121" s="3"/>
      <c r="M121" s="3"/>
      <c r="N121" s="3"/>
      <c r="O121" s="3"/>
      <c r="P121" s="4"/>
    </row>
    <row r="122" spans="2:16" ht="12.75">
      <c r="B122" s="42"/>
      <c r="C122" s="40" t="s">
        <v>22</v>
      </c>
      <c r="D122" s="40"/>
      <c r="E122" s="21">
        <v>16</v>
      </c>
      <c r="F122" s="1">
        <v>16</v>
      </c>
      <c r="G122" s="1">
        <v>16</v>
      </c>
      <c r="H122" s="1">
        <v>16</v>
      </c>
      <c r="I122" s="1">
        <v>16</v>
      </c>
      <c r="J122" s="1">
        <v>16</v>
      </c>
      <c r="K122" s="1">
        <v>16</v>
      </c>
      <c r="L122" s="1"/>
      <c r="M122" s="1"/>
      <c r="N122" s="1"/>
      <c r="O122" s="1"/>
      <c r="P122" s="22"/>
    </row>
    <row r="123" spans="2:16" ht="12.75">
      <c r="B123" s="42"/>
      <c r="C123" s="40" t="s">
        <v>23</v>
      </c>
      <c r="D123" s="40"/>
      <c r="E123" s="21">
        <v>330</v>
      </c>
      <c r="F123" s="1">
        <v>320</v>
      </c>
      <c r="G123" s="1">
        <v>310</v>
      </c>
      <c r="H123" s="1">
        <v>300</v>
      </c>
      <c r="I123" s="1">
        <v>290</v>
      </c>
      <c r="J123" s="1">
        <v>280</v>
      </c>
      <c r="K123" s="1">
        <v>270</v>
      </c>
      <c r="L123" s="1"/>
      <c r="M123" s="1"/>
      <c r="N123" s="1"/>
      <c r="O123" s="1"/>
      <c r="P123" s="22"/>
    </row>
    <row r="124" spans="2:16" ht="13.5" thickBot="1">
      <c r="B124" s="42"/>
      <c r="C124" s="41" t="s">
        <v>24</v>
      </c>
      <c r="D124" s="41"/>
      <c r="E124" s="48">
        <v>0.5</v>
      </c>
      <c r="F124" s="49">
        <v>0.5</v>
      </c>
      <c r="G124" s="49">
        <v>0.5</v>
      </c>
      <c r="H124" s="49">
        <v>0.5</v>
      </c>
      <c r="I124" s="49">
        <v>0.5</v>
      </c>
      <c r="J124" s="49">
        <v>0.5</v>
      </c>
      <c r="K124" s="49">
        <v>0.5</v>
      </c>
      <c r="L124" s="49"/>
      <c r="M124" s="49"/>
      <c r="N124" s="49"/>
      <c r="O124" s="49"/>
      <c r="P124" s="50"/>
    </row>
    <row r="125" spans="2:16" ht="12.75">
      <c r="B125" s="42"/>
      <c r="C125" s="42" t="s">
        <v>97</v>
      </c>
      <c r="D125" s="42"/>
      <c r="E125" s="52">
        <f aca="true" t="shared" si="33" ref="E125:P125">SUM(E121:E124,E118:E119)</f>
        <v>630.5</v>
      </c>
      <c r="F125" s="52">
        <f t="shared" si="33"/>
        <v>620.5</v>
      </c>
      <c r="G125" s="52">
        <f t="shared" si="33"/>
        <v>610.5</v>
      </c>
      <c r="H125" s="52">
        <f t="shared" si="33"/>
        <v>600.5</v>
      </c>
      <c r="I125" s="52">
        <f t="shared" si="33"/>
        <v>590.5</v>
      </c>
      <c r="J125" s="52">
        <f t="shared" si="33"/>
        <v>580.5</v>
      </c>
      <c r="K125" s="52">
        <f t="shared" si="33"/>
        <v>570.5</v>
      </c>
      <c r="L125" s="52">
        <f t="shared" si="33"/>
        <v>0</v>
      </c>
      <c r="M125" s="52">
        <f t="shared" si="33"/>
        <v>0</v>
      </c>
      <c r="N125" s="52">
        <f t="shared" si="33"/>
        <v>0</v>
      </c>
      <c r="O125" s="52">
        <f t="shared" si="33"/>
        <v>0</v>
      </c>
      <c r="P125" s="52">
        <f t="shared" si="33"/>
        <v>0</v>
      </c>
    </row>
    <row r="126" spans="2:16" ht="12.75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</row>
    <row r="127" spans="2:16" ht="12.75">
      <c r="B127" s="42"/>
      <c r="C127" s="42" t="s">
        <v>98</v>
      </c>
      <c r="D127" s="42"/>
      <c r="E127" s="55">
        <f>SUM(E121:E122,E118)/E125</f>
        <v>0.41871530531324347</v>
      </c>
      <c r="F127" s="55">
        <f aca="true" t="shared" si="34" ref="F127:P127">SUM(F121:F122,F118)/F125</f>
        <v>0.4254633360193392</v>
      </c>
      <c r="G127" s="55">
        <f t="shared" si="34"/>
        <v>0.43243243243243246</v>
      </c>
      <c r="H127" s="55">
        <f t="shared" si="34"/>
        <v>0.43963363863447125</v>
      </c>
      <c r="I127" s="55">
        <f t="shared" si="34"/>
        <v>0.4470787468247248</v>
      </c>
      <c r="J127" s="55">
        <f t="shared" si="34"/>
        <v>0.45478036175710596</v>
      </c>
      <c r="K127" s="55">
        <f t="shared" si="34"/>
        <v>0.46275197195442597</v>
      </c>
      <c r="L127" s="55" t="e">
        <f t="shared" si="34"/>
        <v>#DIV/0!</v>
      </c>
      <c r="M127" s="55" t="e">
        <f t="shared" si="34"/>
        <v>#DIV/0!</v>
      </c>
      <c r="N127" s="55" t="e">
        <f t="shared" si="34"/>
        <v>#DIV/0!</v>
      </c>
      <c r="O127" s="55" t="e">
        <f t="shared" si="34"/>
        <v>#DIV/0!</v>
      </c>
      <c r="P127" s="55" t="e">
        <f t="shared" si="34"/>
        <v>#DIV/0!</v>
      </c>
    </row>
    <row r="128" spans="2:16" ht="12.75">
      <c r="B128" s="42"/>
      <c r="C128" s="42" t="s">
        <v>99</v>
      </c>
      <c r="D128" s="42"/>
      <c r="E128" s="55">
        <f>SUM(E123:E124,E119)/E125</f>
        <v>0.5812846946867566</v>
      </c>
      <c r="F128" s="55">
        <f aca="true" t="shared" si="35" ref="F128:P128">SUM(F123:F124,F119)/F125</f>
        <v>0.5745366639806607</v>
      </c>
      <c r="G128" s="55">
        <f t="shared" si="35"/>
        <v>0.5675675675675675</v>
      </c>
      <c r="H128" s="55">
        <f t="shared" si="35"/>
        <v>0.5603663613655288</v>
      </c>
      <c r="I128" s="55">
        <f t="shared" si="35"/>
        <v>0.5529212531752752</v>
      </c>
      <c r="J128" s="55">
        <f t="shared" si="35"/>
        <v>0.5452196382428941</v>
      </c>
      <c r="K128" s="55">
        <f t="shared" si="35"/>
        <v>0.537248028045574</v>
      </c>
      <c r="L128" s="55" t="e">
        <f t="shared" si="35"/>
        <v>#DIV/0!</v>
      </c>
      <c r="M128" s="55" t="e">
        <f t="shared" si="35"/>
        <v>#DIV/0!</v>
      </c>
      <c r="N128" s="55" t="e">
        <f t="shared" si="35"/>
        <v>#DIV/0!</v>
      </c>
      <c r="O128" s="55" t="e">
        <f t="shared" si="35"/>
        <v>#DIV/0!</v>
      </c>
      <c r="P128" s="55" t="e">
        <f t="shared" si="35"/>
        <v>#DIV/0!</v>
      </c>
    </row>
    <row r="129" spans="2:16" ht="12.75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</row>
    <row r="130" spans="2:16" ht="12.75">
      <c r="B130" s="42"/>
      <c r="C130" s="42" t="s">
        <v>101</v>
      </c>
      <c r="D130" s="42"/>
      <c r="E130" s="54">
        <f>E125/$G104</f>
        <v>70.05555555555556</v>
      </c>
      <c r="F130" s="54">
        <f aca="true" t="shared" si="36" ref="F130:P130">F125/$G104</f>
        <v>68.94444444444444</v>
      </c>
      <c r="G130" s="54">
        <f t="shared" si="36"/>
        <v>67.83333333333333</v>
      </c>
      <c r="H130" s="54">
        <f t="shared" si="36"/>
        <v>66.72222222222223</v>
      </c>
      <c r="I130" s="54">
        <f t="shared" si="36"/>
        <v>65.61111111111111</v>
      </c>
      <c r="J130" s="54">
        <f t="shared" si="36"/>
        <v>64.5</v>
      </c>
      <c r="K130" s="54">
        <f t="shared" si="36"/>
        <v>63.388888888888886</v>
      </c>
      <c r="L130" s="54">
        <f t="shared" si="36"/>
        <v>0</v>
      </c>
      <c r="M130" s="54">
        <f t="shared" si="36"/>
        <v>0</v>
      </c>
      <c r="N130" s="54">
        <f t="shared" si="36"/>
        <v>0</v>
      </c>
      <c r="O130" s="54">
        <f t="shared" si="36"/>
        <v>0</v>
      </c>
      <c r="P130" s="54">
        <f t="shared" si="36"/>
        <v>0</v>
      </c>
    </row>
    <row r="131" spans="2:16" ht="12.75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</row>
    <row r="132" spans="2:16" ht="13.5" thickBot="1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</row>
    <row r="133" spans="2:16" ht="13.5" thickBot="1">
      <c r="B133" s="45"/>
      <c r="C133" s="47" t="s">
        <v>102</v>
      </c>
      <c r="D133" s="45"/>
      <c r="E133" s="45"/>
      <c r="F133" s="46" t="s">
        <v>76</v>
      </c>
      <c r="G133" s="56">
        <v>25</v>
      </c>
      <c r="H133" s="45"/>
      <c r="I133" s="45"/>
      <c r="J133" s="46" t="s">
        <v>82</v>
      </c>
      <c r="K133" s="56">
        <v>18</v>
      </c>
      <c r="L133" s="45" t="s">
        <v>83</v>
      </c>
      <c r="M133" s="45"/>
      <c r="N133" s="45"/>
      <c r="O133" s="45"/>
      <c r="P133" s="45"/>
    </row>
    <row r="134" spans="2:16" ht="12.7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</row>
    <row r="135" spans="2:16" ht="13.5" thickBot="1">
      <c r="B135" s="45"/>
      <c r="C135" s="47" t="s">
        <v>75</v>
      </c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</row>
    <row r="136" spans="2:16" ht="12.75">
      <c r="B136" s="45"/>
      <c r="C136" s="39" t="s">
        <v>19</v>
      </c>
      <c r="D136" s="39"/>
      <c r="E136" s="2">
        <v>250</v>
      </c>
      <c r="F136" s="3">
        <v>250</v>
      </c>
      <c r="G136" s="3">
        <v>250</v>
      </c>
      <c r="H136" s="3">
        <v>250</v>
      </c>
      <c r="I136" s="3">
        <v>250</v>
      </c>
      <c r="J136" s="3">
        <v>250</v>
      </c>
      <c r="K136" s="3">
        <v>250</v>
      </c>
      <c r="L136" s="3"/>
      <c r="M136" s="3"/>
      <c r="N136" s="3"/>
      <c r="O136" s="3"/>
      <c r="P136" s="4"/>
    </row>
    <row r="137" spans="2:16" ht="13.5" thickBot="1">
      <c r="B137" s="45"/>
      <c r="C137" s="38" t="s">
        <v>20</v>
      </c>
      <c r="D137" s="38"/>
      <c r="E137" s="5">
        <v>50</v>
      </c>
      <c r="F137" s="6">
        <v>50</v>
      </c>
      <c r="G137" s="6">
        <v>50</v>
      </c>
      <c r="H137" s="6">
        <v>50</v>
      </c>
      <c r="I137" s="6">
        <v>50</v>
      </c>
      <c r="J137" s="6">
        <v>50</v>
      </c>
      <c r="K137" s="6">
        <v>50</v>
      </c>
      <c r="L137" s="6"/>
      <c r="M137" s="6"/>
      <c r="N137" s="6"/>
      <c r="O137" s="6"/>
      <c r="P137" s="7"/>
    </row>
    <row r="138" spans="2:16" ht="13.5" thickBot="1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</row>
    <row r="139" spans="2:16" ht="12.75">
      <c r="B139" s="45"/>
      <c r="C139" s="38" t="s">
        <v>21</v>
      </c>
      <c r="D139" s="38"/>
      <c r="E139" s="2">
        <v>125</v>
      </c>
      <c r="F139" s="3">
        <v>125</v>
      </c>
      <c r="G139" s="3">
        <v>125</v>
      </c>
      <c r="H139" s="3">
        <v>125</v>
      </c>
      <c r="I139" s="3">
        <v>125</v>
      </c>
      <c r="J139" s="3">
        <v>125</v>
      </c>
      <c r="K139" s="3">
        <v>125</v>
      </c>
      <c r="L139" s="3"/>
      <c r="M139" s="3"/>
      <c r="N139" s="3"/>
      <c r="O139" s="3"/>
      <c r="P139" s="4"/>
    </row>
    <row r="140" spans="2:16" ht="12.75">
      <c r="B140" s="45"/>
      <c r="C140" s="40" t="s">
        <v>22</v>
      </c>
      <c r="D140" s="40"/>
      <c r="E140" s="21">
        <v>25</v>
      </c>
      <c r="F140" s="1">
        <v>25</v>
      </c>
      <c r="G140" s="1">
        <v>25</v>
      </c>
      <c r="H140" s="1">
        <v>25</v>
      </c>
      <c r="I140" s="1">
        <v>25</v>
      </c>
      <c r="J140" s="1">
        <v>25</v>
      </c>
      <c r="K140" s="1">
        <v>25</v>
      </c>
      <c r="L140" s="1"/>
      <c r="M140" s="1"/>
      <c r="N140" s="1"/>
      <c r="O140" s="1"/>
      <c r="P140" s="22"/>
    </row>
    <row r="141" spans="2:16" ht="12.75">
      <c r="B141" s="45"/>
      <c r="C141" s="40" t="s">
        <v>23</v>
      </c>
      <c r="D141" s="40"/>
      <c r="E141" s="21">
        <v>250</v>
      </c>
      <c r="F141" s="1">
        <v>250</v>
      </c>
      <c r="G141" s="1">
        <v>250</v>
      </c>
      <c r="H141" s="1">
        <v>250</v>
      </c>
      <c r="I141" s="1">
        <v>250</v>
      </c>
      <c r="J141" s="1">
        <v>250</v>
      </c>
      <c r="K141" s="1">
        <v>250</v>
      </c>
      <c r="L141" s="1"/>
      <c r="M141" s="1"/>
      <c r="N141" s="1"/>
      <c r="O141" s="1"/>
      <c r="P141" s="22"/>
    </row>
    <row r="142" spans="2:16" ht="13.5" thickBot="1">
      <c r="B142" s="45"/>
      <c r="C142" s="41" t="s">
        <v>24</v>
      </c>
      <c r="D142" s="41"/>
      <c r="E142" s="48">
        <v>0.5</v>
      </c>
      <c r="F142" s="49">
        <v>0.5</v>
      </c>
      <c r="G142" s="49">
        <v>0.5</v>
      </c>
      <c r="H142" s="49">
        <v>0.5</v>
      </c>
      <c r="I142" s="49">
        <v>0.5</v>
      </c>
      <c r="J142" s="49">
        <v>0.5</v>
      </c>
      <c r="K142" s="49">
        <v>0.5</v>
      </c>
      <c r="L142" s="49"/>
      <c r="M142" s="49"/>
      <c r="N142" s="49"/>
      <c r="O142" s="49"/>
      <c r="P142" s="50"/>
    </row>
    <row r="143" spans="2:16" ht="12.75">
      <c r="B143" s="45"/>
      <c r="C143" s="45" t="s">
        <v>78</v>
      </c>
      <c r="D143" s="45"/>
      <c r="E143" s="57">
        <f>E$24*$G133*$K133</f>
        <v>13950</v>
      </c>
      <c r="F143" s="57">
        <f aca="true" t="shared" si="37" ref="F143:P143">F$24*$G133*$K133</f>
        <v>12600</v>
      </c>
      <c r="G143" s="57">
        <f t="shared" si="37"/>
        <v>13950</v>
      </c>
      <c r="H143" s="57">
        <f t="shared" si="37"/>
        <v>13500</v>
      </c>
      <c r="I143" s="57">
        <f t="shared" si="37"/>
        <v>13950</v>
      </c>
      <c r="J143" s="57">
        <f t="shared" si="37"/>
        <v>13500</v>
      </c>
      <c r="K143" s="57">
        <f t="shared" si="37"/>
        <v>13950</v>
      </c>
      <c r="L143" s="57">
        <f t="shared" si="37"/>
        <v>13950</v>
      </c>
      <c r="M143" s="57">
        <f t="shared" si="37"/>
        <v>13500</v>
      </c>
      <c r="N143" s="57">
        <f t="shared" si="37"/>
        <v>13950</v>
      </c>
      <c r="O143" s="57">
        <f t="shared" si="37"/>
        <v>13500</v>
      </c>
      <c r="P143" s="57">
        <f t="shared" si="37"/>
        <v>13950</v>
      </c>
    </row>
    <row r="144" spans="2:16" ht="12.75">
      <c r="B144" s="45"/>
      <c r="C144" s="47" t="s">
        <v>79</v>
      </c>
      <c r="D144" s="45"/>
      <c r="E144" s="58">
        <f>SUM(E139:E142)/E143*1000000</f>
        <v>28709.677419354837</v>
      </c>
      <c r="F144" s="58">
        <f aca="true" t="shared" si="38" ref="F144:P144">SUM(F139:F141)/F143*1000000</f>
        <v>31746.031746031746</v>
      </c>
      <c r="G144" s="58">
        <f t="shared" si="38"/>
        <v>28673.83512544803</v>
      </c>
      <c r="H144" s="58">
        <f t="shared" si="38"/>
        <v>29629.62962962963</v>
      </c>
      <c r="I144" s="58">
        <f t="shared" si="38"/>
        <v>28673.83512544803</v>
      </c>
      <c r="J144" s="58">
        <f t="shared" si="38"/>
        <v>29629.62962962963</v>
      </c>
      <c r="K144" s="58">
        <f t="shared" si="38"/>
        <v>28673.83512544803</v>
      </c>
      <c r="L144" s="58">
        <f t="shared" si="38"/>
        <v>0</v>
      </c>
      <c r="M144" s="58">
        <f t="shared" si="38"/>
        <v>0</v>
      </c>
      <c r="N144" s="58">
        <f t="shared" si="38"/>
        <v>0</v>
      </c>
      <c r="O144" s="58">
        <f t="shared" si="38"/>
        <v>0</v>
      </c>
      <c r="P144" s="58">
        <f t="shared" si="38"/>
        <v>0</v>
      </c>
    </row>
    <row r="145" spans="2:16" ht="12.7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</row>
    <row r="146" spans="2:16" ht="13.5" thickBot="1">
      <c r="B146" s="45"/>
      <c r="C146" s="47" t="s">
        <v>80</v>
      </c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</row>
    <row r="147" spans="2:16" ht="12.75">
      <c r="B147" s="45"/>
      <c r="C147" s="39" t="s">
        <v>19</v>
      </c>
      <c r="D147" s="39"/>
      <c r="E147" s="2">
        <v>500</v>
      </c>
      <c r="F147" s="3">
        <v>500</v>
      </c>
      <c r="G147" s="3">
        <v>500</v>
      </c>
      <c r="H147" s="3">
        <v>500</v>
      </c>
      <c r="I147" s="3">
        <v>500</v>
      </c>
      <c r="J147" s="3">
        <v>500</v>
      </c>
      <c r="K147" s="3">
        <v>500</v>
      </c>
      <c r="L147" s="3"/>
      <c r="M147" s="3"/>
      <c r="N147" s="3"/>
      <c r="O147" s="3"/>
      <c r="P147" s="4"/>
    </row>
    <row r="148" spans="2:16" ht="13.5" thickBot="1">
      <c r="B148" s="45"/>
      <c r="C148" s="38" t="s">
        <v>20</v>
      </c>
      <c r="D148" s="38"/>
      <c r="E148" s="5">
        <v>100</v>
      </c>
      <c r="F148" s="6">
        <v>100</v>
      </c>
      <c r="G148" s="6">
        <v>100</v>
      </c>
      <c r="H148" s="6">
        <v>100</v>
      </c>
      <c r="I148" s="6">
        <v>100</v>
      </c>
      <c r="J148" s="6">
        <v>100</v>
      </c>
      <c r="K148" s="6">
        <v>100</v>
      </c>
      <c r="L148" s="6"/>
      <c r="M148" s="6"/>
      <c r="N148" s="6"/>
      <c r="O148" s="6"/>
      <c r="P148" s="7"/>
    </row>
    <row r="149" spans="2:16" ht="13.5" thickBot="1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</row>
    <row r="150" spans="2:16" ht="12.75">
      <c r="B150" s="45"/>
      <c r="C150" s="38" t="s">
        <v>21</v>
      </c>
      <c r="D150" s="38"/>
      <c r="E150" s="2">
        <v>188</v>
      </c>
      <c r="F150" s="3">
        <v>188</v>
      </c>
      <c r="G150" s="3">
        <v>188</v>
      </c>
      <c r="H150" s="3">
        <v>188</v>
      </c>
      <c r="I150" s="3">
        <v>188</v>
      </c>
      <c r="J150" s="3">
        <v>188</v>
      </c>
      <c r="K150" s="3">
        <v>188</v>
      </c>
      <c r="L150" s="3"/>
      <c r="M150" s="3"/>
      <c r="N150" s="3"/>
      <c r="O150" s="3"/>
      <c r="P150" s="4"/>
    </row>
    <row r="151" spans="2:16" ht="12.75">
      <c r="B151" s="45"/>
      <c r="C151" s="40" t="s">
        <v>22</v>
      </c>
      <c r="D151" s="40"/>
      <c r="E151" s="21">
        <v>44</v>
      </c>
      <c r="F151" s="1">
        <v>44</v>
      </c>
      <c r="G151" s="1">
        <v>44</v>
      </c>
      <c r="H151" s="1">
        <v>44</v>
      </c>
      <c r="I151" s="1">
        <v>44</v>
      </c>
      <c r="J151" s="1">
        <v>44</v>
      </c>
      <c r="K151" s="1">
        <v>44</v>
      </c>
      <c r="L151" s="1"/>
      <c r="M151" s="1"/>
      <c r="N151" s="1"/>
      <c r="O151" s="1"/>
      <c r="P151" s="22"/>
    </row>
    <row r="152" spans="2:16" ht="12.75">
      <c r="B152" s="45"/>
      <c r="C152" s="40" t="s">
        <v>23</v>
      </c>
      <c r="D152" s="40"/>
      <c r="E152" s="21">
        <v>330</v>
      </c>
      <c r="F152" s="1">
        <v>320</v>
      </c>
      <c r="G152" s="1">
        <v>310</v>
      </c>
      <c r="H152" s="1">
        <v>300</v>
      </c>
      <c r="I152" s="1">
        <v>290</v>
      </c>
      <c r="J152" s="1">
        <v>280</v>
      </c>
      <c r="K152" s="1">
        <v>270</v>
      </c>
      <c r="L152" s="1"/>
      <c r="M152" s="1"/>
      <c r="N152" s="1"/>
      <c r="O152" s="1"/>
      <c r="P152" s="22"/>
    </row>
    <row r="153" spans="2:16" ht="13.5" thickBot="1">
      <c r="B153" s="45"/>
      <c r="C153" s="41" t="s">
        <v>24</v>
      </c>
      <c r="D153" s="41"/>
      <c r="E153" s="48">
        <v>0.5</v>
      </c>
      <c r="F153" s="49">
        <v>0.5</v>
      </c>
      <c r="G153" s="49">
        <v>0.5</v>
      </c>
      <c r="H153" s="49">
        <v>0.5</v>
      </c>
      <c r="I153" s="49">
        <v>0.5</v>
      </c>
      <c r="J153" s="49">
        <v>0.5</v>
      </c>
      <c r="K153" s="49">
        <v>0.5</v>
      </c>
      <c r="L153" s="49"/>
      <c r="M153" s="49"/>
      <c r="N153" s="49"/>
      <c r="O153" s="49"/>
      <c r="P153" s="50"/>
    </row>
    <row r="154" spans="2:16" ht="12.75">
      <c r="B154" s="45"/>
      <c r="C154" s="45" t="s">
        <v>110</v>
      </c>
      <c r="D154" s="45"/>
      <c r="E154" s="57">
        <f aca="true" t="shared" si="39" ref="E154:P154">SUM(E150:E153,E147:E148)</f>
        <v>1162.5</v>
      </c>
      <c r="F154" s="57">
        <f t="shared" si="39"/>
        <v>1152.5</v>
      </c>
      <c r="G154" s="57">
        <f t="shared" si="39"/>
        <v>1142.5</v>
      </c>
      <c r="H154" s="57">
        <f t="shared" si="39"/>
        <v>1132.5</v>
      </c>
      <c r="I154" s="57">
        <f t="shared" si="39"/>
        <v>1122.5</v>
      </c>
      <c r="J154" s="57">
        <f t="shared" si="39"/>
        <v>1112.5</v>
      </c>
      <c r="K154" s="57">
        <f t="shared" si="39"/>
        <v>1102.5</v>
      </c>
      <c r="L154" s="57">
        <f t="shared" si="39"/>
        <v>0</v>
      </c>
      <c r="M154" s="57">
        <f t="shared" si="39"/>
        <v>0</v>
      </c>
      <c r="N154" s="57">
        <f t="shared" si="39"/>
        <v>0</v>
      </c>
      <c r="O154" s="57">
        <f t="shared" si="39"/>
        <v>0</v>
      </c>
      <c r="P154" s="57">
        <f t="shared" si="39"/>
        <v>0</v>
      </c>
    </row>
    <row r="155" spans="2:16" ht="12.75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</row>
    <row r="156" spans="2:16" ht="12.75">
      <c r="B156" s="45"/>
      <c r="C156" s="45" t="s">
        <v>103</v>
      </c>
      <c r="D156" s="45"/>
      <c r="E156" s="59">
        <f>SUM(E150:E151,E147)/E154</f>
        <v>0.6296774193548387</v>
      </c>
      <c r="F156" s="59">
        <f aca="true" t="shared" si="40" ref="F156:P156">SUM(F150:F151,F147)/F154</f>
        <v>0.6351409978308026</v>
      </c>
      <c r="G156" s="59">
        <f t="shared" si="40"/>
        <v>0.6407002188183808</v>
      </c>
      <c r="H156" s="59">
        <f t="shared" si="40"/>
        <v>0.6463576158940397</v>
      </c>
      <c r="I156" s="59">
        <f t="shared" si="40"/>
        <v>0.6521158129175947</v>
      </c>
      <c r="J156" s="59">
        <f t="shared" si="40"/>
        <v>0.6579775280898876</v>
      </c>
      <c r="K156" s="59">
        <f t="shared" si="40"/>
        <v>0.6639455782312925</v>
      </c>
      <c r="L156" s="59" t="e">
        <f t="shared" si="40"/>
        <v>#DIV/0!</v>
      </c>
      <c r="M156" s="59" t="e">
        <f t="shared" si="40"/>
        <v>#DIV/0!</v>
      </c>
      <c r="N156" s="59" t="e">
        <f t="shared" si="40"/>
        <v>#DIV/0!</v>
      </c>
      <c r="O156" s="59" t="e">
        <f t="shared" si="40"/>
        <v>#DIV/0!</v>
      </c>
      <c r="P156" s="59" t="e">
        <f t="shared" si="40"/>
        <v>#DIV/0!</v>
      </c>
    </row>
    <row r="157" spans="2:16" ht="12.75">
      <c r="B157" s="45"/>
      <c r="C157" s="45" t="s">
        <v>104</v>
      </c>
      <c r="D157" s="45"/>
      <c r="E157" s="59">
        <f>SUM(E152:E153,E148)/E154</f>
        <v>0.37032258064516127</v>
      </c>
      <c r="F157" s="59">
        <f aca="true" t="shared" si="41" ref="F157:P157">SUM(F152:F153,F148)/F154</f>
        <v>0.3648590021691974</v>
      </c>
      <c r="G157" s="59">
        <f t="shared" si="41"/>
        <v>0.35929978118161926</v>
      </c>
      <c r="H157" s="59">
        <f t="shared" si="41"/>
        <v>0.3536423841059603</v>
      </c>
      <c r="I157" s="59">
        <f t="shared" si="41"/>
        <v>0.34788418708240537</v>
      </c>
      <c r="J157" s="59">
        <f t="shared" si="41"/>
        <v>0.34202247191011237</v>
      </c>
      <c r="K157" s="59">
        <f t="shared" si="41"/>
        <v>0.3360544217687075</v>
      </c>
      <c r="L157" s="59" t="e">
        <f t="shared" si="41"/>
        <v>#DIV/0!</v>
      </c>
      <c r="M157" s="59" t="e">
        <f t="shared" si="41"/>
        <v>#DIV/0!</v>
      </c>
      <c r="N157" s="59" t="e">
        <f t="shared" si="41"/>
        <v>#DIV/0!</v>
      </c>
      <c r="O157" s="59" t="e">
        <f t="shared" si="41"/>
        <v>#DIV/0!</v>
      </c>
      <c r="P157" s="59" t="e">
        <f t="shared" si="41"/>
        <v>#DIV/0!</v>
      </c>
    </row>
    <row r="158" spans="2:16" ht="12.75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</row>
    <row r="159" spans="2:16" ht="12.75">
      <c r="B159" s="45"/>
      <c r="C159" s="45" t="s">
        <v>105</v>
      </c>
      <c r="D159" s="45"/>
      <c r="E159" s="60">
        <f>E154/$G133</f>
        <v>46.5</v>
      </c>
      <c r="F159" s="60">
        <f aca="true" t="shared" si="42" ref="F159:P159">F154/$G133</f>
        <v>46.1</v>
      </c>
      <c r="G159" s="60">
        <f t="shared" si="42"/>
        <v>45.7</v>
      </c>
      <c r="H159" s="60">
        <f t="shared" si="42"/>
        <v>45.3</v>
      </c>
      <c r="I159" s="60">
        <f t="shared" si="42"/>
        <v>44.9</v>
      </c>
      <c r="J159" s="60">
        <f t="shared" si="42"/>
        <v>44.5</v>
      </c>
      <c r="K159" s="60">
        <f t="shared" si="42"/>
        <v>44.1</v>
      </c>
      <c r="L159" s="60">
        <f t="shared" si="42"/>
        <v>0</v>
      </c>
      <c r="M159" s="60">
        <f t="shared" si="42"/>
        <v>0</v>
      </c>
      <c r="N159" s="60">
        <f t="shared" si="42"/>
        <v>0</v>
      </c>
      <c r="O159" s="60">
        <f t="shared" si="42"/>
        <v>0</v>
      </c>
      <c r="P159" s="60">
        <f t="shared" si="42"/>
        <v>0</v>
      </c>
    </row>
    <row r="160" spans="2:16" ht="12.75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</row>
    <row r="161" spans="2:16" ht="13.5" thickBot="1"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</row>
    <row r="162" spans="2:16" ht="13.5" thickBot="1">
      <c r="B162" s="45"/>
      <c r="C162" s="47" t="s">
        <v>102</v>
      </c>
      <c r="D162" s="45"/>
      <c r="E162" s="45"/>
      <c r="F162" s="46" t="s">
        <v>76</v>
      </c>
      <c r="G162" s="56">
        <v>6</v>
      </c>
      <c r="H162" s="45"/>
      <c r="I162" s="45"/>
      <c r="J162" s="46" t="s">
        <v>82</v>
      </c>
      <c r="K162" s="56">
        <v>18</v>
      </c>
      <c r="L162" s="45" t="s">
        <v>83</v>
      </c>
      <c r="M162" s="45"/>
      <c r="N162" s="45"/>
      <c r="O162" s="45"/>
      <c r="P162" s="45"/>
    </row>
    <row r="163" spans="2:16" ht="12.75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</row>
    <row r="164" spans="2:16" ht="13.5" thickBot="1">
      <c r="B164" s="45"/>
      <c r="C164" s="47" t="s">
        <v>75</v>
      </c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</row>
    <row r="165" spans="2:16" ht="12.75">
      <c r="B165" s="45"/>
      <c r="C165" s="39" t="s">
        <v>19</v>
      </c>
      <c r="D165" s="39"/>
      <c r="E165" s="2">
        <v>60</v>
      </c>
      <c r="F165" s="3">
        <v>60</v>
      </c>
      <c r="G165" s="3">
        <v>60</v>
      </c>
      <c r="H165" s="3">
        <v>60</v>
      </c>
      <c r="I165" s="3">
        <v>60</v>
      </c>
      <c r="J165" s="3">
        <v>60</v>
      </c>
      <c r="K165" s="3">
        <v>60</v>
      </c>
      <c r="L165" s="3"/>
      <c r="M165" s="3"/>
      <c r="N165" s="3"/>
      <c r="O165" s="3"/>
      <c r="P165" s="4"/>
    </row>
    <row r="166" spans="2:16" ht="13.5" thickBot="1">
      <c r="B166" s="45"/>
      <c r="C166" s="38" t="s">
        <v>20</v>
      </c>
      <c r="D166" s="38"/>
      <c r="E166" s="5">
        <v>12</v>
      </c>
      <c r="F166" s="6">
        <v>18</v>
      </c>
      <c r="G166" s="6">
        <v>12</v>
      </c>
      <c r="H166" s="6">
        <v>18</v>
      </c>
      <c r="I166" s="6">
        <v>12</v>
      </c>
      <c r="J166" s="6">
        <v>18</v>
      </c>
      <c r="K166" s="6">
        <v>12</v>
      </c>
      <c r="L166" s="6"/>
      <c r="M166" s="6"/>
      <c r="N166" s="6"/>
      <c r="O166" s="6"/>
      <c r="P166" s="7"/>
    </row>
    <row r="167" spans="2:16" ht="13.5" thickBot="1"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</row>
    <row r="168" spans="2:16" ht="12.75">
      <c r="B168" s="45"/>
      <c r="C168" s="38" t="s">
        <v>21</v>
      </c>
      <c r="D168" s="38"/>
      <c r="E168" s="2">
        <v>24</v>
      </c>
      <c r="F168" s="3">
        <v>30</v>
      </c>
      <c r="G168" s="3">
        <v>36</v>
      </c>
      <c r="H168" s="3">
        <v>30</v>
      </c>
      <c r="I168" s="3">
        <v>48</v>
      </c>
      <c r="J168" s="3">
        <v>30</v>
      </c>
      <c r="K168" s="3">
        <v>30</v>
      </c>
      <c r="L168" s="3"/>
      <c r="M168" s="3"/>
      <c r="N168" s="3"/>
      <c r="O168" s="3"/>
      <c r="P168" s="4"/>
    </row>
    <row r="169" spans="2:16" ht="12.75">
      <c r="B169" s="45"/>
      <c r="C169" s="40" t="s">
        <v>22</v>
      </c>
      <c r="D169" s="40"/>
      <c r="E169" s="21">
        <v>12</v>
      </c>
      <c r="F169" s="1">
        <v>12</v>
      </c>
      <c r="G169" s="1">
        <v>12</v>
      </c>
      <c r="H169" s="1">
        <v>12</v>
      </c>
      <c r="I169" s="1">
        <v>12</v>
      </c>
      <c r="J169" s="1">
        <v>12</v>
      </c>
      <c r="K169" s="1">
        <v>12</v>
      </c>
      <c r="L169" s="1"/>
      <c r="M169" s="1"/>
      <c r="N169" s="1"/>
      <c r="O169" s="1"/>
      <c r="P169" s="22"/>
    </row>
    <row r="170" spans="2:16" ht="12.75">
      <c r="B170" s="45"/>
      <c r="C170" s="40" t="s">
        <v>23</v>
      </c>
      <c r="D170" s="40"/>
      <c r="E170" s="21">
        <v>120</v>
      </c>
      <c r="F170" s="1">
        <v>110</v>
      </c>
      <c r="G170" s="1">
        <v>100</v>
      </c>
      <c r="H170" s="1">
        <v>90</v>
      </c>
      <c r="I170" s="1">
        <v>80</v>
      </c>
      <c r="J170" s="1">
        <v>70</v>
      </c>
      <c r="K170" s="1">
        <v>60</v>
      </c>
      <c r="L170" s="1"/>
      <c r="M170" s="1"/>
      <c r="N170" s="1"/>
      <c r="O170" s="1"/>
      <c r="P170" s="22"/>
    </row>
    <row r="171" spans="2:16" ht="13.5" thickBot="1">
      <c r="B171" s="45"/>
      <c r="C171" s="41" t="s">
        <v>24</v>
      </c>
      <c r="D171" s="41"/>
      <c r="E171" s="48">
        <v>0.5</v>
      </c>
      <c r="F171" s="49">
        <v>0.5</v>
      </c>
      <c r="G171" s="49">
        <v>0.5</v>
      </c>
      <c r="H171" s="49">
        <v>0.5</v>
      </c>
      <c r="I171" s="49">
        <v>0.5</v>
      </c>
      <c r="J171" s="49">
        <v>0.5</v>
      </c>
      <c r="K171" s="49">
        <v>0.5</v>
      </c>
      <c r="L171" s="49"/>
      <c r="M171" s="49"/>
      <c r="N171" s="49"/>
      <c r="O171" s="49"/>
      <c r="P171" s="50"/>
    </row>
    <row r="172" spans="2:16" ht="12.75">
      <c r="B172" s="45"/>
      <c r="C172" s="45" t="s">
        <v>78</v>
      </c>
      <c r="D172" s="45"/>
      <c r="E172" s="57">
        <f>E$24*$G162*$K162</f>
        <v>3348</v>
      </c>
      <c r="F172" s="57">
        <f aca="true" t="shared" si="43" ref="F172:P172">F$24*$G162*$K162</f>
        <v>3024</v>
      </c>
      <c r="G172" s="57">
        <f t="shared" si="43"/>
        <v>3348</v>
      </c>
      <c r="H172" s="57">
        <f t="shared" si="43"/>
        <v>3240</v>
      </c>
      <c r="I172" s="57">
        <f t="shared" si="43"/>
        <v>3348</v>
      </c>
      <c r="J172" s="57">
        <f t="shared" si="43"/>
        <v>3240</v>
      </c>
      <c r="K172" s="57">
        <f t="shared" si="43"/>
        <v>3348</v>
      </c>
      <c r="L172" s="57">
        <f t="shared" si="43"/>
        <v>3348</v>
      </c>
      <c r="M172" s="57">
        <f t="shared" si="43"/>
        <v>3240</v>
      </c>
      <c r="N172" s="57">
        <f t="shared" si="43"/>
        <v>3348</v>
      </c>
      <c r="O172" s="57">
        <f t="shared" si="43"/>
        <v>3240</v>
      </c>
      <c r="P172" s="57">
        <f t="shared" si="43"/>
        <v>3348</v>
      </c>
    </row>
    <row r="173" spans="2:16" ht="12.75">
      <c r="B173" s="45"/>
      <c r="C173" s="47" t="s">
        <v>79</v>
      </c>
      <c r="D173" s="45"/>
      <c r="E173" s="58">
        <f>SUM(E168:E171)/E172*1000000</f>
        <v>46744.32497013142</v>
      </c>
      <c r="F173" s="58">
        <f aca="true" t="shared" si="44" ref="F173:P173">SUM(F168:F170)/F172*1000000</f>
        <v>50264.550264550264</v>
      </c>
      <c r="G173" s="58">
        <f t="shared" si="44"/>
        <v>44205.495818399046</v>
      </c>
      <c r="H173" s="58">
        <f t="shared" si="44"/>
        <v>40740.740740740745</v>
      </c>
      <c r="I173" s="58">
        <f t="shared" si="44"/>
        <v>41816.009557945035</v>
      </c>
      <c r="J173" s="58">
        <f t="shared" si="44"/>
        <v>34567.9012345679</v>
      </c>
      <c r="K173" s="58">
        <f t="shared" si="44"/>
        <v>30465.94982078853</v>
      </c>
      <c r="L173" s="58">
        <f t="shared" si="44"/>
        <v>0</v>
      </c>
      <c r="M173" s="58">
        <f t="shared" si="44"/>
        <v>0</v>
      </c>
      <c r="N173" s="58">
        <f t="shared" si="44"/>
        <v>0</v>
      </c>
      <c r="O173" s="58">
        <f t="shared" si="44"/>
        <v>0</v>
      </c>
      <c r="P173" s="58">
        <f t="shared" si="44"/>
        <v>0</v>
      </c>
    </row>
    <row r="174" spans="2:16" ht="12.75"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</row>
    <row r="175" spans="2:16" ht="13.5" thickBot="1">
      <c r="B175" s="45"/>
      <c r="C175" s="47" t="s">
        <v>100</v>
      </c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</row>
    <row r="176" spans="2:16" ht="12.75">
      <c r="B176" s="45"/>
      <c r="C176" s="39"/>
      <c r="D176" s="39"/>
      <c r="E176" s="2">
        <v>120</v>
      </c>
      <c r="F176" s="3">
        <v>120</v>
      </c>
      <c r="G176" s="3">
        <v>120</v>
      </c>
      <c r="H176" s="3">
        <v>120</v>
      </c>
      <c r="I176" s="3">
        <v>120</v>
      </c>
      <c r="J176" s="3">
        <v>120</v>
      </c>
      <c r="K176" s="3">
        <v>120</v>
      </c>
      <c r="L176" s="3"/>
      <c r="M176" s="3"/>
      <c r="N176" s="3"/>
      <c r="O176" s="3"/>
      <c r="P176" s="4"/>
    </row>
    <row r="177" spans="2:16" ht="13.5" thickBot="1">
      <c r="B177" s="45"/>
      <c r="C177" s="38" t="s">
        <v>20</v>
      </c>
      <c r="D177" s="38"/>
      <c r="E177" s="5">
        <v>24</v>
      </c>
      <c r="F177" s="6">
        <v>36</v>
      </c>
      <c r="G177" s="6">
        <v>24</v>
      </c>
      <c r="H177" s="6">
        <v>36</v>
      </c>
      <c r="I177" s="6">
        <v>24</v>
      </c>
      <c r="J177" s="6">
        <v>36</v>
      </c>
      <c r="K177" s="6">
        <v>24</v>
      </c>
      <c r="L177" s="6"/>
      <c r="M177" s="6"/>
      <c r="N177" s="6"/>
      <c r="O177" s="6"/>
      <c r="P177" s="7"/>
    </row>
    <row r="178" spans="2:16" ht="13.5" thickBot="1"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</row>
    <row r="179" spans="2:16" ht="12.75">
      <c r="B179" s="45"/>
      <c r="C179" s="38" t="s">
        <v>21</v>
      </c>
      <c r="D179" s="38"/>
      <c r="E179" s="2">
        <v>36</v>
      </c>
      <c r="F179" s="3">
        <v>45</v>
      </c>
      <c r="G179" s="3">
        <v>54</v>
      </c>
      <c r="H179" s="3">
        <v>45</v>
      </c>
      <c r="I179" s="3">
        <v>72</v>
      </c>
      <c r="J179" s="3">
        <v>45</v>
      </c>
      <c r="K179" s="3">
        <v>45</v>
      </c>
      <c r="L179" s="3"/>
      <c r="M179" s="3"/>
      <c r="N179" s="3"/>
      <c r="O179" s="3"/>
      <c r="P179" s="4"/>
    </row>
    <row r="180" spans="2:16" ht="12.75">
      <c r="B180" s="45"/>
      <c r="C180" s="40" t="s">
        <v>22</v>
      </c>
      <c r="D180" s="40"/>
      <c r="E180" s="21">
        <v>21</v>
      </c>
      <c r="F180" s="1">
        <v>21</v>
      </c>
      <c r="G180" s="1">
        <v>21</v>
      </c>
      <c r="H180" s="1">
        <v>21</v>
      </c>
      <c r="I180" s="1">
        <v>21</v>
      </c>
      <c r="J180" s="1">
        <v>21</v>
      </c>
      <c r="K180" s="1">
        <v>21</v>
      </c>
      <c r="L180" s="1"/>
      <c r="M180" s="1"/>
      <c r="N180" s="1"/>
      <c r="O180" s="1"/>
      <c r="P180" s="22"/>
    </row>
    <row r="181" spans="2:16" ht="12.75">
      <c r="B181" s="45"/>
      <c r="C181" s="40" t="s">
        <v>23</v>
      </c>
      <c r="D181" s="40"/>
      <c r="E181" s="21">
        <v>216</v>
      </c>
      <c r="F181" s="1">
        <v>198</v>
      </c>
      <c r="G181" s="1">
        <v>180</v>
      </c>
      <c r="H181" s="1">
        <v>162</v>
      </c>
      <c r="I181" s="1">
        <v>144</v>
      </c>
      <c r="J181" s="1">
        <v>126</v>
      </c>
      <c r="K181" s="1">
        <v>108</v>
      </c>
      <c r="L181" s="1"/>
      <c r="M181" s="1"/>
      <c r="N181" s="1"/>
      <c r="O181" s="1"/>
      <c r="P181" s="22"/>
    </row>
    <row r="182" spans="2:16" ht="13.5" thickBot="1">
      <c r="B182" s="45"/>
      <c r="C182" s="41" t="s">
        <v>24</v>
      </c>
      <c r="D182" s="41"/>
      <c r="E182" s="48">
        <v>0.5</v>
      </c>
      <c r="F182" s="49">
        <v>0.5</v>
      </c>
      <c r="G182" s="49">
        <v>0.5</v>
      </c>
      <c r="H182" s="49">
        <v>0.5</v>
      </c>
      <c r="I182" s="49">
        <v>0.5</v>
      </c>
      <c r="J182" s="49">
        <v>0.5</v>
      </c>
      <c r="K182" s="49">
        <v>0.5</v>
      </c>
      <c r="L182" s="49"/>
      <c r="M182" s="49"/>
      <c r="N182" s="49"/>
      <c r="O182" s="49"/>
      <c r="P182" s="50"/>
    </row>
    <row r="183" spans="2:16" ht="12.75">
      <c r="B183" s="45"/>
      <c r="C183" s="45" t="s">
        <v>106</v>
      </c>
      <c r="D183" s="45"/>
      <c r="E183" s="57">
        <f aca="true" t="shared" si="45" ref="E183:P183">SUM(E179:E182,E176:E177)</f>
        <v>417.5</v>
      </c>
      <c r="F183" s="57">
        <f t="shared" si="45"/>
        <v>420.5</v>
      </c>
      <c r="G183" s="57">
        <f t="shared" si="45"/>
        <v>399.5</v>
      </c>
      <c r="H183" s="57">
        <f t="shared" si="45"/>
        <v>384.5</v>
      </c>
      <c r="I183" s="57">
        <f t="shared" si="45"/>
        <v>381.5</v>
      </c>
      <c r="J183" s="57">
        <f t="shared" si="45"/>
        <v>348.5</v>
      </c>
      <c r="K183" s="57">
        <f t="shared" si="45"/>
        <v>318.5</v>
      </c>
      <c r="L183" s="57">
        <f t="shared" si="45"/>
        <v>0</v>
      </c>
      <c r="M183" s="57">
        <f t="shared" si="45"/>
        <v>0</v>
      </c>
      <c r="N183" s="57">
        <f t="shared" si="45"/>
        <v>0</v>
      </c>
      <c r="O183" s="57">
        <f t="shared" si="45"/>
        <v>0</v>
      </c>
      <c r="P183" s="57">
        <f t="shared" si="45"/>
        <v>0</v>
      </c>
    </row>
    <row r="184" spans="2:16" ht="12.75"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</row>
    <row r="185" spans="2:16" ht="12.75">
      <c r="B185" s="45"/>
      <c r="C185" s="45" t="s">
        <v>107</v>
      </c>
      <c r="D185" s="45"/>
      <c r="E185" s="59">
        <f>SUM(E179:E180,E176)/E183</f>
        <v>0.4239520958083832</v>
      </c>
      <c r="F185" s="59">
        <f aca="true" t="shared" si="46" ref="F185:P185">SUM(F179:F180,F176)/F183</f>
        <v>0.4423305588585018</v>
      </c>
      <c r="G185" s="59">
        <f t="shared" si="46"/>
        <v>0.4881101376720901</v>
      </c>
      <c r="H185" s="59">
        <f t="shared" si="46"/>
        <v>0.4837451235370611</v>
      </c>
      <c r="I185" s="59">
        <f t="shared" si="46"/>
        <v>0.5583224115334207</v>
      </c>
      <c r="J185" s="59">
        <f t="shared" si="46"/>
        <v>0.533715925394548</v>
      </c>
      <c r="K185" s="59">
        <f t="shared" si="46"/>
        <v>0.5839874411302983</v>
      </c>
      <c r="L185" s="59" t="e">
        <f t="shared" si="46"/>
        <v>#DIV/0!</v>
      </c>
      <c r="M185" s="59" t="e">
        <f t="shared" si="46"/>
        <v>#DIV/0!</v>
      </c>
      <c r="N185" s="59" t="e">
        <f t="shared" si="46"/>
        <v>#DIV/0!</v>
      </c>
      <c r="O185" s="59" t="e">
        <f t="shared" si="46"/>
        <v>#DIV/0!</v>
      </c>
      <c r="P185" s="59" t="e">
        <f t="shared" si="46"/>
        <v>#DIV/0!</v>
      </c>
    </row>
    <row r="186" spans="2:16" ht="12.75">
      <c r="B186" s="45"/>
      <c r="C186" s="45" t="s">
        <v>108</v>
      </c>
      <c r="D186" s="45"/>
      <c r="E186" s="59">
        <f>SUM(E181:E182,E177)/E183</f>
        <v>0.5760479041916168</v>
      </c>
      <c r="F186" s="59">
        <f aca="true" t="shared" si="47" ref="F186:P186">SUM(F181:F182,F177)/F183</f>
        <v>0.5576694411414982</v>
      </c>
      <c r="G186" s="59">
        <f t="shared" si="47"/>
        <v>0.5118898623279099</v>
      </c>
      <c r="H186" s="59">
        <f t="shared" si="47"/>
        <v>0.5162548764629389</v>
      </c>
      <c r="I186" s="59">
        <f t="shared" si="47"/>
        <v>0.4416775884665793</v>
      </c>
      <c r="J186" s="59">
        <f t="shared" si="47"/>
        <v>0.46628407460545196</v>
      </c>
      <c r="K186" s="59">
        <f t="shared" si="47"/>
        <v>0.41601255886970173</v>
      </c>
      <c r="L186" s="59" t="e">
        <f t="shared" si="47"/>
        <v>#DIV/0!</v>
      </c>
      <c r="M186" s="59" t="e">
        <f t="shared" si="47"/>
        <v>#DIV/0!</v>
      </c>
      <c r="N186" s="59" t="e">
        <f t="shared" si="47"/>
        <v>#DIV/0!</v>
      </c>
      <c r="O186" s="59" t="e">
        <f t="shared" si="47"/>
        <v>#DIV/0!</v>
      </c>
      <c r="P186" s="59" t="e">
        <f t="shared" si="47"/>
        <v>#DIV/0!</v>
      </c>
    </row>
    <row r="187" spans="2:16" ht="12.75"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</row>
    <row r="188" spans="2:16" ht="12.75">
      <c r="B188" s="45"/>
      <c r="C188" s="45" t="s">
        <v>109</v>
      </c>
      <c r="D188" s="45"/>
      <c r="E188" s="60">
        <f>E183/$G162</f>
        <v>69.58333333333333</v>
      </c>
      <c r="F188" s="60">
        <f aca="true" t="shared" si="48" ref="F188:P188">F183/$G162</f>
        <v>70.08333333333333</v>
      </c>
      <c r="G188" s="60">
        <f t="shared" si="48"/>
        <v>66.58333333333333</v>
      </c>
      <c r="H188" s="60">
        <f t="shared" si="48"/>
        <v>64.08333333333333</v>
      </c>
      <c r="I188" s="60">
        <f t="shared" si="48"/>
        <v>63.583333333333336</v>
      </c>
      <c r="J188" s="60">
        <f t="shared" si="48"/>
        <v>58.083333333333336</v>
      </c>
      <c r="K188" s="60">
        <f t="shared" si="48"/>
        <v>53.083333333333336</v>
      </c>
      <c r="L188" s="60">
        <f t="shared" si="48"/>
        <v>0</v>
      </c>
      <c r="M188" s="60">
        <f t="shared" si="48"/>
        <v>0</v>
      </c>
      <c r="N188" s="60">
        <f t="shared" si="48"/>
        <v>0</v>
      </c>
      <c r="O188" s="60">
        <f t="shared" si="48"/>
        <v>0</v>
      </c>
      <c r="P188" s="60">
        <f t="shared" si="48"/>
        <v>0</v>
      </c>
    </row>
    <row r="189" spans="2:16" ht="12.75"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</row>
  </sheetData>
  <conditionalFormatting sqref="E19:P19">
    <cfRule type="cellIs" priority="1" dxfId="0" operator="equal" stopIfTrue="1">
      <formula>1000000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54"/>
  <sheetViews>
    <sheetView workbookViewId="0" topLeftCell="C1">
      <selection activeCell="C2" sqref="C2:C3"/>
    </sheetView>
  </sheetViews>
  <sheetFormatPr defaultColWidth="9.140625" defaultRowHeight="12.75"/>
  <cols>
    <col min="1" max="1" width="4.140625" style="10" customWidth="1"/>
    <col min="2" max="2" width="9.28125" style="12" bestFit="1" customWidth="1"/>
    <col min="3" max="3" width="61.7109375" style="10" customWidth="1"/>
    <col min="4" max="4" width="9.57421875" style="10" bestFit="1" customWidth="1"/>
    <col min="5" max="5" width="14.140625" style="10" bestFit="1" customWidth="1"/>
    <col min="6" max="6" width="13.8515625" style="10" bestFit="1" customWidth="1"/>
    <col min="7" max="10" width="14.140625" style="10" bestFit="1" customWidth="1"/>
    <col min="11" max="11" width="13.8515625" style="10" bestFit="1" customWidth="1"/>
    <col min="12" max="16" width="11.57421875" style="10" customWidth="1"/>
    <col min="17" max="16384" width="9.140625" style="10" customWidth="1"/>
  </cols>
  <sheetData>
    <row r="2" spans="2:16" s="9" customFormat="1" ht="15.75" customHeight="1">
      <c r="B2" s="13"/>
      <c r="C2" s="80" t="s">
        <v>115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</row>
    <row r="3" spans="2:16" s="9" customFormat="1" ht="15.75">
      <c r="B3" s="13"/>
      <c r="C3" s="80" t="s">
        <v>117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</row>
    <row r="4" ht="4.5" customHeight="1" thickBot="1"/>
    <row r="5" spans="4:16" ht="12.75">
      <c r="D5" s="10" t="s">
        <v>14</v>
      </c>
      <c r="E5" s="2">
        <v>3.9</v>
      </c>
      <c r="F5" s="3">
        <v>4</v>
      </c>
      <c r="G5" s="3">
        <v>3.9</v>
      </c>
      <c r="H5" s="3">
        <v>4</v>
      </c>
      <c r="I5" s="3">
        <v>4.1</v>
      </c>
      <c r="J5" s="3">
        <v>3.9</v>
      </c>
      <c r="K5" s="3">
        <v>4</v>
      </c>
      <c r="L5" s="3"/>
      <c r="M5" s="3"/>
      <c r="N5" s="3"/>
      <c r="O5" s="3"/>
      <c r="P5" s="4"/>
    </row>
    <row r="6" spans="4:16" ht="13.5" thickBot="1">
      <c r="D6" s="10" t="s">
        <v>15</v>
      </c>
      <c r="E6" s="5">
        <v>4</v>
      </c>
      <c r="F6" s="6">
        <v>4</v>
      </c>
      <c r="G6" s="6">
        <v>4</v>
      </c>
      <c r="H6" s="6">
        <v>4</v>
      </c>
      <c r="I6" s="6">
        <v>4</v>
      </c>
      <c r="J6" s="6">
        <v>4</v>
      </c>
      <c r="K6" s="6">
        <v>4</v>
      </c>
      <c r="L6" s="6"/>
      <c r="M6" s="6"/>
      <c r="N6" s="6"/>
      <c r="O6" s="6"/>
      <c r="P6" s="7"/>
    </row>
    <row r="7" spans="1:16" ht="13.5" thickBot="1">
      <c r="A7" s="11" t="s">
        <v>16</v>
      </c>
      <c r="B7" s="8">
        <v>1</v>
      </c>
      <c r="C7" s="9" t="s">
        <v>13</v>
      </c>
      <c r="E7" s="14">
        <f aca="true" t="shared" si="0" ref="E7:P7">IF(E5/(E6*$B7)&lt;1,1000000,0)</f>
        <v>1000000</v>
      </c>
      <c r="F7" s="14">
        <f t="shared" si="0"/>
        <v>0</v>
      </c>
      <c r="G7" s="14">
        <f t="shared" si="0"/>
        <v>1000000</v>
      </c>
      <c r="H7" s="14">
        <f t="shared" si="0"/>
        <v>0</v>
      </c>
      <c r="I7" s="14">
        <f t="shared" si="0"/>
        <v>0</v>
      </c>
      <c r="J7" s="14">
        <f t="shared" si="0"/>
        <v>1000000</v>
      </c>
      <c r="K7" s="14">
        <f t="shared" si="0"/>
        <v>0</v>
      </c>
      <c r="L7" s="14" t="e">
        <f t="shared" si="0"/>
        <v>#DIV/0!</v>
      </c>
      <c r="M7" s="14" t="e">
        <f t="shared" si="0"/>
        <v>#DIV/0!</v>
      </c>
      <c r="N7" s="14" t="e">
        <f t="shared" si="0"/>
        <v>#DIV/0!</v>
      </c>
      <c r="O7" s="14" t="e">
        <f t="shared" si="0"/>
        <v>#DIV/0!</v>
      </c>
      <c r="P7" s="14" t="e">
        <f t="shared" si="0"/>
        <v>#DIV/0!</v>
      </c>
    </row>
    <row r="8" ht="5.25" customHeight="1" thickBot="1"/>
    <row r="9" spans="4:16" ht="12.75">
      <c r="D9" s="10" t="s">
        <v>14</v>
      </c>
      <c r="E9" s="2">
        <v>3.9</v>
      </c>
      <c r="F9" s="3">
        <v>4</v>
      </c>
      <c r="G9" s="3">
        <v>4</v>
      </c>
      <c r="H9" s="3">
        <v>4.1</v>
      </c>
      <c r="I9" s="3">
        <v>3.9</v>
      </c>
      <c r="J9" s="3">
        <v>4</v>
      </c>
      <c r="K9" s="3">
        <v>4</v>
      </c>
      <c r="L9" s="3"/>
      <c r="M9" s="3"/>
      <c r="N9" s="3"/>
      <c r="O9" s="3"/>
      <c r="P9" s="4"/>
    </row>
    <row r="10" spans="4:16" ht="13.5" thickBot="1">
      <c r="D10" s="10" t="s">
        <v>15</v>
      </c>
      <c r="E10" s="5">
        <v>4</v>
      </c>
      <c r="F10" s="6">
        <v>4</v>
      </c>
      <c r="G10" s="6">
        <v>4</v>
      </c>
      <c r="H10" s="6">
        <v>4</v>
      </c>
      <c r="I10" s="6">
        <v>4</v>
      </c>
      <c r="J10" s="6">
        <v>4</v>
      </c>
      <c r="K10" s="6">
        <v>4</v>
      </c>
      <c r="L10" s="6"/>
      <c r="M10" s="6"/>
      <c r="N10" s="6"/>
      <c r="O10" s="6"/>
      <c r="P10" s="7"/>
    </row>
    <row r="11" spans="1:16" ht="13.5" thickBot="1">
      <c r="A11" s="11" t="s">
        <v>16</v>
      </c>
      <c r="B11" s="8">
        <v>1</v>
      </c>
      <c r="C11" s="9" t="s">
        <v>13</v>
      </c>
      <c r="E11" s="14">
        <f aca="true" t="shared" si="1" ref="E11:P11">IF(E9/(E10*$B11)&lt;1,1000000,0)</f>
        <v>1000000</v>
      </c>
      <c r="F11" s="14">
        <f t="shared" si="1"/>
        <v>0</v>
      </c>
      <c r="G11" s="14">
        <f t="shared" si="1"/>
        <v>0</v>
      </c>
      <c r="H11" s="14">
        <f t="shared" si="1"/>
        <v>0</v>
      </c>
      <c r="I11" s="14">
        <f t="shared" si="1"/>
        <v>1000000</v>
      </c>
      <c r="J11" s="14">
        <f t="shared" si="1"/>
        <v>0</v>
      </c>
      <c r="K11" s="14">
        <f t="shared" si="1"/>
        <v>0</v>
      </c>
      <c r="L11" s="14" t="e">
        <f t="shared" si="1"/>
        <v>#DIV/0!</v>
      </c>
      <c r="M11" s="14" t="e">
        <f t="shared" si="1"/>
        <v>#DIV/0!</v>
      </c>
      <c r="N11" s="14" t="e">
        <f t="shared" si="1"/>
        <v>#DIV/0!</v>
      </c>
      <c r="O11" s="14" t="e">
        <f t="shared" si="1"/>
        <v>#DIV/0!</v>
      </c>
      <c r="P11" s="14" t="e">
        <f t="shared" si="1"/>
        <v>#DIV/0!</v>
      </c>
    </row>
    <row r="12" ht="6.75" customHeight="1" thickBot="1"/>
    <row r="13" spans="4:16" ht="12.75">
      <c r="D13" s="10" t="s">
        <v>14</v>
      </c>
      <c r="E13" s="2">
        <v>45</v>
      </c>
      <c r="F13" s="3">
        <v>44</v>
      </c>
      <c r="G13" s="3">
        <v>45</v>
      </c>
      <c r="H13" s="3">
        <v>46</v>
      </c>
      <c r="I13" s="3">
        <v>46</v>
      </c>
      <c r="J13" s="3">
        <v>45</v>
      </c>
      <c r="K13" s="3">
        <v>44</v>
      </c>
      <c r="L13" s="3"/>
      <c r="M13" s="3"/>
      <c r="N13" s="3"/>
      <c r="O13" s="3"/>
      <c r="P13" s="4"/>
    </row>
    <row r="14" spans="4:16" ht="13.5" thickBot="1">
      <c r="D14" s="10" t="s">
        <v>15</v>
      </c>
      <c r="E14" s="5">
        <v>50</v>
      </c>
      <c r="F14" s="6">
        <v>50</v>
      </c>
      <c r="G14" s="6">
        <v>50</v>
      </c>
      <c r="H14" s="6">
        <v>50</v>
      </c>
      <c r="I14" s="6">
        <v>50</v>
      </c>
      <c r="J14" s="6">
        <v>50</v>
      </c>
      <c r="K14" s="6">
        <v>50</v>
      </c>
      <c r="L14" s="6"/>
      <c r="M14" s="6"/>
      <c r="N14" s="6"/>
      <c r="O14" s="6"/>
      <c r="P14" s="7"/>
    </row>
    <row r="15" spans="1:16" ht="13.5" thickBot="1">
      <c r="A15" s="11" t="s">
        <v>16</v>
      </c>
      <c r="B15" s="8">
        <v>0.9</v>
      </c>
      <c r="C15" s="9" t="s">
        <v>17</v>
      </c>
      <c r="E15" s="14">
        <f aca="true" t="shared" si="2" ref="E15:P15">IF(E13&lt;=$B15*E14,(($B15*E14)-E13)/($B15*E14)*1000000,0)</f>
        <v>0</v>
      </c>
      <c r="F15" s="14">
        <f t="shared" si="2"/>
        <v>22222.222222222223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22222.222222222223</v>
      </c>
      <c r="L15" s="14" t="e">
        <f t="shared" si="2"/>
        <v>#DIV/0!</v>
      </c>
      <c r="M15" s="14" t="e">
        <f t="shared" si="2"/>
        <v>#DIV/0!</v>
      </c>
      <c r="N15" s="14" t="e">
        <f t="shared" si="2"/>
        <v>#DIV/0!</v>
      </c>
      <c r="O15" s="14" t="e">
        <f t="shared" si="2"/>
        <v>#DIV/0!</v>
      </c>
      <c r="P15" s="14" t="e">
        <f t="shared" si="2"/>
        <v>#DIV/0!</v>
      </c>
    </row>
    <row r="16" ht="9.75" customHeight="1" thickBot="1"/>
    <row r="17" spans="4:16" ht="12.75">
      <c r="D17" s="10" t="s">
        <v>14</v>
      </c>
      <c r="E17" s="2">
        <v>45</v>
      </c>
      <c r="F17" s="3">
        <v>44</v>
      </c>
      <c r="G17" s="3">
        <v>45</v>
      </c>
      <c r="H17" s="3">
        <v>46</v>
      </c>
      <c r="I17" s="3">
        <v>46</v>
      </c>
      <c r="J17" s="3">
        <v>45</v>
      </c>
      <c r="K17" s="3">
        <v>44</v>
      </c>
      <c r="L17" s="3"/>
      <c r="M17" s="3"/>
      <c r="N17" s="3"/>
      <c r="O17" s="3"/>
      <c r="P17" s="4"/>
    </row>
    <row r="18" spans="4:16" ht="13.5" thickBot="1">
      <c r="D18" s="10" t="s">
        <v>15</v>
      </c>
      <c r="E18" s="5">
        <v>50</v>
      </c>
      <c r="F18" s="6">
        <v>50</v>
      </c>
      <c r="G18" s="6">
        <v>50</v>
      </c>
      <c r="H18" s="6">
        <v>50</v>
      </c>
      <c r="I18" s="6">
        <v>50</v>
      </c>
      <c r="J18" s="6">
        <v>50</v>
      </c>
      <c r="K18" s="6">
        <v>50</v>
      </c>
      <c r="L18" s="6"/>
      <c r="M18" s="6"/>
      <c r="N18" s="6"/>
      <c r="O18" s="6"/>
      <c r="P18" s="7"/>
    </row>
    <row r="19" spans="1:16" ht="13.5" thickBot="1">
      <c r="A19" s="11" t="s">
        <v>16</v>
      </c>
      <c r="B19" s="8">
        <v>0.9</v>
      </c>
      <c r="C19" s="9" t="s">
        <v>18</v>
      </c>
      <c r="E19" s="14">
        <f aca="true" t="shared" si="3" ref="E19:O19">IF(E17&lt;=$B19*E18,(($B19*E18)-E17)/($B19*E18)*1000000,0)</f>
        <v>0</v>
      </c>
      <c r="F19" s="14">
        <f t="shared" si="3"/>
        <v>22222.222222222223</v>
      </c>
      <c r="G19" s="14">
        <f t="shared" si="3"/>
        <v>0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22222.222222222223</v>
      </c>
      <c r="L19" s="14" t="e">
        <f t="shared" si="3"/>
        <v>#DIV/0!</v>
      </c>
      <c r="M19" s="14" t="e">
        <f t="shared" si="3"/>
        <v>#DIV/0!</v>
      </c>
      <c r="N19" s="14" t="e">
        <f t="shared" si="3"/>
        <v>#DIV/0!</v>
      </c>
      <c r="O19" s="14" t="e">
        <f t="shared" si="3"/>
        <v>#DIV/0!</v>
      </c>
      <c r="P19" s="14" t="e">
        <f>IF(P17&lt;=$B19*P18,(($B19*P18)-P17)/($B19*P18)*1000000,0)</f>
        <v>#DIV/0!</v>
      </c>
    </row>
    <row r="21" spans="1:16" ht="12.7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2.75">
      <c r="A22" s="42"/>
      <c r="B22" s="42"/>
      <c r="C22" s="43" t="s">
        <v>89</v>
      </c>
      <c r="D22" s="42"/>
      <c r="E22" s="67"/>
      <c r="F22" s="71"/>
      <c r="G22" s="72"/>
      <c r="H22" s="67"/>
      <c r="I22" s="67"/>
      <c r="J22" s="71"/>
      <c r="K22" s="72"/>
      <c r="L22" s="67"/>
      <c r="M22" s="67"/>
      <c r="N22" s="42"/>
      <c r="O22" s="42"/>
      <c r="P22" s="42"/>
    </row>
    <row r="23" spans="1:16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12.75">
      <c r="A24" s="42"/>
      <c r="B24" s="42"/>
      <c r="C24" s="43" t="s">
        <v>75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2.75">
      <c r="A25" s="42"/>
      <c r="B25" s="42"/>
      <c r="C25" s="39" t="s">
        <v>19</v>
      </c>
      <c r="D25" s="39"/>
      <c r="E25" s="63">
        <f>Cost!E78+Cost!E107</f>
        <v>430</v>
      </c>
      <c r="F25" s="63">
        <f>Cost!F78+Cost!F107</f>
        <v>430</v>
      </c>
      <c r="G25" s="63">
        <f>Cost!G78+Cost!G107</f>
        <v>430</v>
      </c>
      <c r="H25" s="63">
        <f>Cost!H78+Cost!H107</f>
        <v>430</v>
      </c>
      <c r="I25" s="63">
        <f>Cost!I78+Cost!I107</f>
        <v>430</v>
      </c>
      <c r="J25" s="63">
        <f>Cost!J78+Cost!J107</f>
        <v>430</v>
      </c>
      <c r="K25" s="63">
        <f>Cost!K78+Cost!K107</f>
        <v>430</v>
      </c>
      <c r="L25" s="63">
        <f>Cost!L78+Cost!L107</f>
        <v>0</v>
      </c>
      <c r="M25" s="63">
        <f>Cost!M78+Cost!M107</f>
        <v>0</v>
      </c>
      <c r="N25" s="63">
        <f>Cost!N78+Cost!N107</f>
        <v>0</v>
      </c>
      <c r="O25" s="63">
        <f>Cost!O78+Cost!O107</f>
        <v>0</v>
      </c>
      <c r="P25" s="63">
        <f>Cost!P78+Cost!P107</f>
        <v>0</v>
      </c>
    </row>
    <row r="26" spans="1:16" ht="12.75">
      <c r="A26" s="42"/>
      <c r="B26" s="42"/>
      <c r="C26" s="38" t="s">
        <v>20</v>
      </c>
      <c r="D26" s="38"/>
      <c r="E26" s="64">
        <f>Cost!E79+Cost!E108</f>
        <v>86</v>
      </c>
      <c r="F26" s="64">
        <f>Cost!F79+Cost!F108</f>
        <v>86</v>
      </c>
      <c r="G26" s="64">
        <f>Cost!G79+Cost!G108</f>
        <v>86</v>
      </c>
      <c r="H26" s="64">
        <f>Cost!H79+Cost!H108</f>
        <v>86</v>
      </c>
      <c r="I26" s="64">
        <f>Cost!I79+Cost!I108</f>
        <v>86</v>
      </c>
      <c r="J26" s="64">
        <f>Cost!J79+Cost!J108</f>
        <v>86</v>
      </c>
      <c r="K26" s="64">
        <f>Cost!K79+Cost!K108</f>
        <v>86</v>
      </c>
      <c r="L26" s="64">
        <f>Cost!L79+Cost!L108</f>
        <v>0</v>
      </c>
      <c r="M26" s="64">
        <f>Cost!M79+Cost!M108</f>
        <v>0</v>
      </c>
      <c r="N26" s="64">
        <f>Cost!N79+Cost!N108</f>
        <v>0</v>
      </c>
      <c r="O26" s="64">
        <f>Cost!O79+Cost!O108</f>
        <v>0</v>
      </c>
      <c r="P26" s="64">
        <f>Cost!P79+Cost!P108</f>
        <v>0</v>
      </c>
    </row>
    <row r="27" spans="1:16" ht="7.5" customHeight="1">
      <c r="A27" s="42"/>
      <c r="B27" s="42"/>
      <c r="C27" s="42"/>
      <c r="D27" s="42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1:16" ht="12.75">
      <c r="A28" s="42"/>
      <c r="B28" s="42"/>
      <c r="C28" s="38" t="s">
        <v>21</v>
      </c>
      <c r="D28" s="38"/>
      <c r="E28" s="64">
        <f>Cost!E81+Cost!E110</f>
        <v>215</v>
      </c>
      <c r="F28" s="64">
        <f>Cost!F81+Cost!F110</f>
        <v>215</v>
      </c>
      <c r="G28" s="64">
        <f>Cost!G81+Cost!G110</f>
        <v>215</v>
      </c>
      <c r="H28" s="64">
        <f>Cost!H81+Cost!H110</f>
        <v>215</v>
      </c>
      <c r="I28" s="64">
        <f>Cost!I81+Cost!I110</f>
        <v>215</v>
      </c>
      <c r="J28" s="64">
        <f>Cost!J81+Cost!J110</f>
        <v>215</v>
      </c>
      <c r="K28" s="64">
        <f>Cost!K81+Cost!K110</f>
        <v>215</v>
      </c>
      <c r="L28" s="64">
        <f>Cost!L81+Cost!L110</f>
        <v>0</v>
      </c>
      <c r="M28" s="64">
        <f>Cost!M81+Cost!M110</f>
        <v>0</v>
      </c>
      <c r="N28" s="64">
        <f>Cost!N81+Cost!N110</f>
        <v>0</v>
      </c>
      <c r="O28" s="64">
        <f>Cost!O81+Cost!O110</f>
        <v>0</v>
      </c>
      <c r="P28" s="64">
        <f>Cost!P81+Cost!P110</f>
        <v>0</v>
      </c>
    </row>
    <row r="29" spans="1:16" ht="12.75">
      <c r="A29" s="42"/>
      <c r="B29" s="42"/>
      <c r="C29" s="40" t="s">
        <v>22</v>
      </c>
      <c r="D29" s="40"/>
      <c r="E29" s="65">
        <f>Cost!E82+Cost!E111</f>
        <v>43</v>
      </c>
      <c r="F29" s="65">
        <f>Cost!F82+Cost!F111</f>
        <v>43</v>
      </c>
      <c r="G29" s="65">
        <f>Cost!G82+Cost!G111</f>
        <v>43</v>
      </c>
      <c r="H29" s="65">
        <f>Cost!H82+Cost!H111</f>
        <v>43</v>
      </c>
      <c r="I29" s="65">
        <f>Cost!I82+Cost!I111</f>
        <v>43</v>
      </c>
      <c r="J29" s="65">
        <f>Cost!J82+Cost!J111</f>
        <v>43</v>
      </c>
      <c r="K29" s="65">
        <f>Cost!K82+Cost!K111</f>
        <v>43</v>
      </c>
      <c r="L29" s="65">
        <f>Cost!L82+Cost!L111</f>
        <v>0</v>
      </c>
      <c r="M29" s="65">
        <f>Cost!M82+Cost!M111</f>
        <v>0</v>
      </c>
      <c r="N29" s="65">
        <f>Cost!N82+Cost!N111</f>
        <v>0</v>
      </c>
      <c r="O29" s="65">
        <f>Cost!O82+Cost!O111</f>
        <v>0</v>
      </c>
      <c r="P29" s="65">
        <f>Cost!P82+Cost!P111</f>
        <v>0</v>
      </c>
    </row>
    <row r="30" spans="1:16" ht="12.75">
      <c r="A30" s="42"/>
      <c r="B30" s="42"/>
      <c r="C30" s="40" t="s">
        <v>23</v>
      </c>
      <c r="D30" s="40"/>
      <c r="E30" s="65">
        <f>Cost!E83+Cost!E112</f>
        <v>430</v>
      </c>
      <c r="F30" s="65">
        <f>Cost!F83+Cost!F112</f>
        <v>430</v>
      </c>
      <c r="G30" s="65">
        <f>Cost!G83+Cost!G112</f>
        <v>430</v>
      </c>
      <c r="H30" s="65">
        <f>Cost!H83+Cost!H112</f>
        <v>430</v>
      </c>
      <c r="I30" s="65">
        <f>Cost!I83+Cost!I112</f>
        <v>430</v>
      </c>
      <c r="J30" s="65">
        <f>Cost!J83+Cost!J112</f>
        <v>430</v>
      </c>
      <c r="K30" s="65">
        <f>Cost!K83+Cost!K112</f>
        <v>430</v>
      </c>
      <c r="L30" s="65">
        <f>Cost!L83+Cost!L112</f>
        <v>0</v>
      </c>
      <c r="M30" s="65">
        <f>Cost!M83+Cost!M112</f>
        <v>0</v>
      </c>
      <c r="N30" s="65">
        <f>Cost!N83+Cost!N112</f>
        <v>0</v>
      </c>
      <c r="O30" s="65">
        <f>Cost!O83+Cost!O112</f>
        <v>0</v>
      </c>
      <c r="P30" s="65">
        <f>Cost!P83+Cost!P112</f>
        <v>0</v>
      </c>
    </row>
    <row r="31" spans="1:16" ht="12.75">
      <c r="A31" s="42"/>
      <c r="B31" s="42"/>
      <c r="C31" s="41" t="s">
        <v>24</v>
      </c>
      <c r="D31" s="41"/>
      <c r="E31" s="66">
        <f>Cost!E84+Cost!E113</f>
        <v>1</v>
      </c>
      <c r="F31" s="66">
        <f>Cost!F84+Cost!F113</f>
        <v>1</v>
      </c>
      <c r="G31" s="66">
        <f>Cost!G84+Cost!G113</f>
        <v>1</v>
      </c>
      <c r="H31" s="66">
        <f>Cost!H84+Cost!H113</f>
        <v>1</v>
      </c>
      <c r="I31" s="66">
        <f>Cost!I84+Cost!I113</f>
        <v>1</v>
      </c>
      <c r="J31" s="66">
        <f>Cost!J84+Cost!J113</f>
        <v>1</v>
      </c>
      <c r="K31" s="66">
        <f>Cost!K84+Cost!K113</f>
        <v>1</v>
      </c>
      <c r="L31" s="66">
        <f>Cost!L84+Cost!L113</f>
        <v>0</v>
      </c>
      <c r="M31" s="66">
        <f>Cost!M84+Cost!M113</f>
        <v>0</v>
      </c>
      <c r="N31" s="66">
        <f>Cost!N84+Cost!N113</f>
        <v>0</v>
      </c>
      <c r="O31" s="66">
        <f>Cost!O84+Cost!O113</f>
        <v>0</v>
      </c>
      <c r="P31" s="66">
        <f>Cost!P84+Cost!P113</f>
        <v>0</v>
      </c>
    </row>
    <row r="32" spans="1:16" ht="12.75">
      <c r="A32" s="42"/>
      <c r="B32" s="42"/>
      <c r="C32" s="42" t="s">
        <v>78</v>
      </c>
      <c r="D32" s="42"/>
      <c r="E32" s="52">
        <f>Cost!E85+Cost!E114</f>
        <v>23994</v>
      </c>
      <c r="F32" s="52">
        <f>Cost!F85+Cost!F114</f>
        <v>21672</v>
      </c>
      <c r="G32" s="52">
        <f>Cost!G85+Cost!G114</f>
        <v>23994</v>
      </c>
      <c r="H32" s="52">
        <f>Cost!H85+Cost!H114</f>
        <v>23220</v>
      </c>
      <c r="I32" s="52">
        <f>Cost!I85+Cost!I114</f>
        <v>23994</v>
      </c>
      <c r="J32" s="52">
        <f>Cost!J85+Cost!J114</f>
        <v>23220</v>
      </c>
      <c r="K32" s="52">
        <f>Cost!K85+Cost!K114</f>
        <v>23994</v>
      </c>
      <c r="L32" s="52">
        <f>Cost!L85+Cost!L114</f>
        <v>23994</v>
      </c>
      <c r="M32" s="52">
        <f>Cost!M85+Cost!M114</f>
        <v>23220</v>
      </c>
      <c r="N32" s="52">
        <f>Cost!N85+Cost!N114</f>
        <v>23994</v>
      </c>
      <c r="O32" s="52">
        <f>Cost!O85+Cost!O114</f>
        <v>23220</v>
      </c>
      <c r="P32" s="52">
        <f>Cost!P85+Cost!P114</f>
        <v>23994</v>
      </c>
    </row>
    <row r="33" spans="1:16" ht="13.5" thickBot="1">
      <c r="A33" s="42"/>
      <c r="B33" s="42"/>
      <c r="C33" s="42"/>
      <c r="D33" s="4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16" ht="13.5" thickBot="1">
      <c r="A34" s="70" t="s">
        <v>28</v>
      </c>
      <c r="B34" s="68">
        <v>0.005</v>
      </c>
      <c r="C34" s="43" t="s">
        <v>88</v>
      </c>
      <c r="D34" s="42"/>
      <c r="E34" s="69">
        <f>IF((SUM(E28:E31)/E32)&gt;$B34,1000000,0)</f>
        <v>1000000</v>
      </c>
      <c r="F34" s="69">
        <f aca="true" t="shared" si="4" ref="F34:P34">IF((SUM(F28:F31)/F32)&gt;$B34,1000000,0)</f>
        <v>1000000</v>
      </c>
      <c r="G34" s="69">
        <f t="shared" si="4"/>
        <v>1000000</v>
      </c>
      <c r="H34" s="69">
        <f t="shared" si="4"/>
        <v>1000000</v>
      </c>
      <c r="I34" s="69">
        <f t="shared" si="4"/>
        <v>1000000</v>
      </c>
      <c r="J34" s="69">
        <f t="shared" si="4"/>
        <v>1000000</v>
      </c>
      <c r="K34" s="69">
        <f t="shared" si="4"/>
        <v>1000000</v>
      </c>
      <c r="L34" s="52">
        <f t="shared" si="4"/>
        <v>0</v>
      </c>
      <c r="M34" s="52">
        <f t="shared" si="4"/>
        <v>0</v>
      </c>
      <c r="N34" s="52">
        <f t="shared" si="4"/>
        <v>0</v>
      </c>
      <c r="O34" s="52">
        <f t="shared" si="4"/>
        <v>0</v>
      </c>
      <c r="P34" s="52">
        <f t="shared" si="4"/>
        <v>0</v>
      </c>
    </row>
    <row r="35" spans="1:16" ht="12.75">
      <c r="A35" s="42"/>
      <c r="B35" s="42"/>
      <c r="C35" s="43"/>
      <c r="D35" s="4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1:16" ht="12.75">
      <c r="A37" s="45"/>
      <c r="B37" s="45"/>
      <c r="C37" s="47" t="s">
        <v>90</v>
      </c>
      <c r="D37" s="45"/>
      <c r="E37" s="73"/>
      <c r="F37" s="74"/>
      <c r="G37" s="75"/>
      <c r="H37" s="73"/>
      <c r="I37" s="73"/>
      <c r="J37" s="74"/>
      <c r="K37" s="75"/>
      <c r="L37" s="73"/>
      <c r="M37" s="73"/>
      <c r="N37" s="45"/>
      <c r="O37" s="45"/>
      <c r="P37" s="45"/>
    </row>
    <row r="38" spans="1:1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1:16" ht="12.75">
      <c r="A39" s="45"/>
      <c r="B39" s="45"/>
      <c r="C39" s="47" t="s">
        <v>75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ht="12.75">
      <c r="A40" s="45"/>
      <c r="B40" s="45"/>
      <c r="C40" s="39" t="s">
        <v>19</v>
      </c>
      <c r="D40" s="39"/>
      <c r="E40" s="63">
        <f>Cost!E136+Cost!E165</f>
        <v>310</v>
      </c>
      <c r="F40" s="63">
        <f>Cost!F136+Cost!F165</f>
        <v>310</v>
      </c>
      <c r="G40" s="63">
        <f>Cost!G136+Cost!G165</f>
        <v>310</v>
      </c>
      <c r="H40" s="63">
        <f>Cost!H136+Cost!H165</f>
        <v>310</v>
      </c>
      <c r="I40" s="63">
        <f>Cost!I136+Cost!I165</f>
        <v>310</v>
      </c>
      <c r="J40" s="63">
        <f>Cost!J136+Cost!J165</f>
        <v>310</v>
      </c>
      <c r="K40" s="63">
        <f>Cost!K136+Cost!K165</f>
        <v>310</v>
      </c>
      <c r="L40" s="63">
        <f>Cost!L136+Cost!L165</f>
        <v>0</v>
      </c>
      <c r="M40" s="63">
        <f>Cost!M136+Cost!M165</f>
        <v>0</v>
      </c>
      <c r="N40" s="63">
        <f>Cost!N136+Cost!N165</f>
        <v>0</v>
      </c>
      <c r="O40" s="63">
        <f>Cost!O136+Cost!O165</f>
        <v>0</v>
      </c>
      <c r="P40" s="63">
        <f>Cost!P136+Cost!P165</f>
        <v>0</v>
      </c>
    </row>
    <row r="41" spans="1:16" ht="12.75">
      <c r="A41" s="45"/>
      <c r="B41" s="45"/>
      <c r="C41" s="38" t="s">
        <v>20</v>
      </c>
      <c r="D41" s="38"/>
      <c r="E41" s="64">
        <f>Cost!E137+Cost!E166</f>
        <v>62</v>
      </c>
      <c r="F41" s="64">
        <f>Cost!F137+Cost!F166</f>
        <v>68</v>
      </c>
      <c r="G41" s="64">
        <f>Cost!G137+Cost!G166</f>
        <v>62</v>
      </c>
      <c r="H41" s="64">
        <f>Cost!H137+Cost!H166</f>
        <v>68</v>
      </c>
      <c r="I41" s="64">
        <f>Cost!I137+Cost!I166</f>
        <v>62</v>
      </c>
      <c r="J41" s="64">
        <f>Cost!J137+Cost!J166</f>
        <v>68</v>
      </c>
      <c r="K41" s="64">
        <f>Cost!K137+Cost!K166</f>
        <v>62</v>
      </c>
      <c r="L41" s="64">
        <f>Cost!L137+Cost!L166</f>
        <v>0</v>
      </c>
      <c r="M41" s="64">
        <f>Cost!M137+Cost!M166</f>
        <v>0</v>
      </c>
      <c r="N41" s="64">
        <f>Cost!N137+Cost!N166</f>
        <v>0</v>
      </c>
      <c r="O41" s="64">
        <f>Cost!O137+Cost!O166</f>
        <v>0</v>
      </c>
      <c r="P41" s="64">
        <f>Cost!P137+Cost!P166</f>
        <v>0</v>
      </c>
    </row>
    <row r="42" spans="1:16" ht="6.75" customHeight="1">
      <c r="A42" s="45"/>
      <c r="B42" s="45"/>
      <c r="C42" s="45"/>
      <c r="D42" s="45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1:16" ht="12.75">
      <c r="A43" s="45"/>
      <c r="B43" s="45"/>
      <c r="C43" s="38" t="s">
        <v>21</v>
      </c>
      <c r="D43" s="38"/>
      <c r="E43" s="64">
        <f>Cost!E139+Cost!E168</f>
        <v>149</v>
      </c>
      <c r="F43" s="64">
        <f>Cost!F139+Cost!F168</f>
        <v>155</v>
      </c>
      <c r="G43" s="64">
        <f>Cost!G139+Cost!G168</f>
        <v>161</v>
      </c>
      <c r="H43" s="64">
        <f>Cost!H139+Cost!H168</f>
        <v>155</v>
      </c>
      <c r="I43" s="64">
        <f>Cost!I139+Cost!I168</f>
        <v>173</v>
      </c>
      <c r="J43" s="64">
        <f>Cost!J139+Cost!J168</f>
        <v>155</v>
      </c>
      <c r="K43" s="64">
        <f>Cost!K139+Cost!K168</f>
        <v>155</v>
      </c>
      <c r="L43" s="64">
        <f>Cost!L139+Cost!L168</f>
        <v>0</v>
      </c>
      <c r="M43" s="64">
        <f>Cost!M139+Cost!M168</f>
        <v>0</v>
      </c>
      <c r="N43" s="64">
        <f>Cost!N139+Cost!N168</f>
        <v>0</v>
      </c>
      <c r="O43" s="64">
        <f>Cost!O139+Cost!O168</f>
        <v>0</v>
      </c>
      <c r="P43" s="64">
        <f>Cost!P139+Cost!P168</f>
        <v>0</v>
      </c>
    </row>
    <row r="44" spans="1:16" ht="12.75">
      <c r="A44" s="45"/>
      <c r="B44" s="45"/>
      <c r="C44" s="40" t="s">
        <v>22</v>
      </c>
      <c r="D44" s="40"/>
      <c r="E44" s="65">
        <f>Cost!E140+Cost!E169</f>
        <v>37</v>
      </c>
      <c r="F44" s="65">
        <f>Cost!F140+Cost!F169</f>
        <v>37</v>
      </c>
      <c r="G44" s="65">
        <f>Cost!G140+Cost!G169</f>
        <v>37</v>
      </c>
      <c r="H44" s="65">
        <f>Cost!H140+Cost!H169</f>
        <v>37</v>
      </c>
      <c r="I44" s="65">
        <f>Cost!I140+Cost!I169</f>
        <v>37</v>
      </c>
      <c r="J44" s="65">
        <f>Cost!J140+Cost!J169</f>
        <v>37</v>
      </c>
      <c r="K44" s="65">
        <f>Cost!K140+Cost!K169</f>
        <v>37</v>
      </c>
      <c r="L44" s="65">
        <f>Cost!L140+Cost!L169</f>
        <v>0</v>
      </c>
      <c r="M44" s="65">
        <f>Cost!M140+Cost!M169</f>
        <v>0</v>
      </c>
      <c r="N44" s="65">
        <f>Cost!N140+Cost!N169</f>
        <v>0</v>
      </c>
      <c r="O44" s="65">
        <f>Cost!O140+Cost!O169</f>
        <v>0</v>
      </c>
      <c r="P44" s="65">
        <f>Cost!P140+Cost!P169</f>
        <v>0</v>
      </c>
    </row>
    <row r="45" spans="1:16" ht="12.75">
      <c r="A45" s="45"/>
      <c r="B45" s="45"/>
      <c r="C45" s="40" t="s">
        <v>23</v>
      </c>
      <c r="D45" s="40"/>
      <c r="E45" s="65">
        <f>Cost!E141+Cost!E170</f>
        <v>370</v>
      </c>
      <c r="F45" s="65">
        <f>Cost!F141+Cost!F170</f>
        <v>360</v>
      </c>
      <c r="G45" s="65">
        <f>Cost!G141+Cost!G170</f>
        <v>350</v>
      </c>
      <c r="H45" s="65">
        <f>Cost!H141+Cost!H170</f>
        <v>340</v>
      </c>
      <c r="I45" s="65">
        <f>Cost!I141+Cost!I170</f>
        <v>330</v>
      </c>
      <c r="J45" s="65">
        <f>Cost!J141+Cost!J170</f>
        <v>320</v>
      </c>
      <c r="K45" s="65">
        <f>Cost!K141+Cost!K170</f>
        <v>310</v>
      </c>
      <c r="L45" s="65">
        <f>Cost!L141+Cost!L170</f>
        <v>0</v>
      </c>
      <c r="M45" s="65">
        <f>Cost!M141+Cost!M170</f>
        <v>0</v>
      </c>
      <c r="N45" s="65">
        <f>Cost!N141+Cost!N170</f>
        <v>0</v>
      </c>
      <c r="O45" s="65">
        <f>Cost!O141+Cost!O170</f>
        <v>0</v>
      </c>
      <c r="P45" s="65">
        <f>Cost!P141+Cost!P170</f>
        <v>0</v>
      </c>
    </row>
    <row r="46" spans="1:16" ht="12.75">
      <c r="A46" s="45"/>
      <c r="B46" s="45"/>
      <c r="C46" s="41" t="s">
        <v>24</v>
      </c>
      <c r="D46" s="41"/>
      <c r="E46" s="66">
        <f>Cost!E142+Cost!E171</f>
        <v>1</v>
      </c>
      <c r="F46" s="66">
        <f>Cost!F142+Cost!F171</f>
        <v>1</v>
      </c>
      <c r="G46" s="66">
        <f>Cost!G142+Cost!G171</f>
        <v>1</v>
      </c>
      <c r="H46" s="66">
        <f>Cost!H142+Cost!H171</f>
        <v>1</v>
      </c>
      <c r="I46" s="66">
        <f>Cost!I142+Cost!I171</f>
        <v>1</v>
      </c>
      <c r="J46" s="66">
        <f>Cost!J142+Cost!J171</f>
        <v>1</v>
      </c>
      <c r="K46" s="66">
        <f>Cost!K142+Cost!K171</f>
        <v>1</v>
      </c>
      <c r="L46" s="66">
        <f>Cost!L142+Cost!L171</f>
        <v>0</v>
      </c>
      <c r="M46" s="66">
        <f>Cost!M142+Cost!M171</f>
        <v>0</v>
      </c>
      <c r="N46" s="66">
        <f>Cost!N142+Cost!N171</f>
        <v>0</v>
      </c>
      <c r="O46" s="66">
        <f>Cost!O142+Cost!O171</f>
        <v>0</v>
      </c>
      <c r="P46" s="66">
        <f>Cost!P142+Cost!P171</f>
        <v>0</v>
      </c>
    </row>
    <row r="47" spans="1:16" ht="12.75">
      <c r="A47" s="45"/>
      <c r="B47" s="45"/>
      <c r="C47" s="45" t="s">
        <v>78</v>
      </c>
      <c r="D47" s="45"/>
      <c r="E47" s="57">
        <f>SUM(Cost!E143,Cost!E172)</f>
        <v>17298</v>
      </c>
      <c r="F47" s="57">
        <f>SUM(Cost!F143,Cost!F172)</f>
        <v>15624</v>
      </c>
      <c r="G47" s="57">
        <f>SUM(Cost!G143,Cost!G172)</f>
        <v>17298</v>
      </c>
      <c r="H47" s="57">
        <f>SUM(Cost!H143,Cost!H172)</f>
        <v>16740</v>
      </c>
      <c r="I47" s="57">
        <f>SUM(Cost!I143,Cost!I172)</f>
        <v>17298</v>
      </c>
      <c r="J47" s="57">
        <f>SUM(Cost!J143,Cost!J172)</f>
        <v>16740</v>
      </c>
      <c r="K47" s="57">
        <f>SUM(Cost!K143,Cost!K172)</f>
        <v>17298</v>
      </c>
      <c r="L47" s="57">
        <f>SUM(Cost!L143,Cost!L172)</f>
        <v>17298</v>
      </c>
      <c r="M47" s="57">
        <f>SUM(Cost!M143,Cost!M172)</f>
        <v>16740</v>
      </c>
      <c r="N47" s="57">
        <f>SUM(Cost!N143,Cost!N172)</f>
        <v>17298</v>
      </c>
      <c r="O47" s="57">
        <f>SUM(Cost!O143,Cost!O172)</f>
        <v>16740</v>
      </c>
      <c r="P47" s="57">
        <f>SUM(Cost!P143,Cost!P172)</f>
        <v>17298</v>
      </c>
    </row>
    <row r="48" spans="1:16" ht="13.5" thickBot="1">
      <c r="A48" s="45"/>
      <c r="B48" s="45"/>
      <c r="C48" s="45"/>
      <c r="D48" s="45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</row>
    <row r="49" spans="1:16" ht="13.5" thickBot="1">
      <c r="A49" s="76" t="s">
        <v>28</v>
      </c>
      <c r="B49" s="68">
        <v>0.005</v>
      </c>
      <c r="C49" s="47" t="s">
        <v>91</v>
      </c>
      <c r="D49" s="45"/>
      <c r="E49" s="57">
        <f>IF((SUM(E43:E46)/E47)&gt;$B49,1000000,0)</f>
        <v>1000000</v>
      </c>
      <c r="F49" s="57">
        <f aca="true" t="shared" si="5" ref="F49:P49">IF((SUM(F43:F46)/F47)&gt;$B49,1000000,0)</f>
        <v>1000000</v>
      </c>
      <c r="G49" s="57">
        <f t="shared" si="5"/>
        <v>1000000</v>
      </c>
      <c r="H49" s="57">
        <f t="shared" si="5"/>
        <v>1000000</v>
      </c>
      <c r="I49" s="57">
        <f t="shared" si="5"/>
        <v>1000000</v>
      </c>
      <c r="J49" s="57">
        <f t="shared" si="5"/>
        <v>1000000</v>
      </c>
      <c r="K49" s="57">
        <f t="shared" si="5"/>
        <v>1000000</v>
      </c>
      <c r="L49" s="57">
        <f t="shared" si="5"/>
        <v>0</v>
      </c>
      <c r="M49" s="57">
        <f t="shared" si="5"/>
        <v>0</v>
      </c>
      <c r="N49" s="57">
        <f t="shared" si="5"/>
        <v>0</v>
      </c>
      <c r="O49" s="57">
        <f t="shared" si="5"/>
        <v>0</v>
      </c>
      <c r="P49" s="57">
        <f t="shared" si="5"/>
        <v>0</v>
      </c>
    </row>
    <row r="50" spans="1:16" ht="12.75">
      <c r="A50" s="45"/>
      <c r="B50" s="45"/>
      <c r="C50" s="47"/>
      <c r="D50" s="45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</row>
    <row r="51" spans="1:1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</row>
    <row r="52" ht="12.75">
      <c r="B52" s="10"/>
    </row>
    <row r="54" spans="3:16" ht="12.75">
      <c r="C54" s="11" t="s">
        <v>92</v>
      </c>
      <c r="E54" s="77">
        <f>AVERAGE(E49,E34,E19,E15,E11,E7)</f>
        <v>666666.6666666666</v>
      </c>
      <c r="F54" s="77">
        <f aca="true" t="shared" si="6" ref="F54:P54">AVERAGE(F49,F34,F19,F15,F11,F7)</f>
        <v>340740.74074074073</v>
      </c>
      <c r="G54" s="77">
        <f t="shared" si="6"/>
        <v>500000</v>
      </c>
      <c r="H54" s="77">
        <f t="shared" si="6"/>
        <v>333333.3333333333</v>
      </c>
      <c r="I54" s="77">
        <f t="shared" si="6"/>
        <v>500000</v>
      </c>
      <c r="J54" s="77">
        <f t="shared" si="6"/>
        <v>500000</v>
      </c>
      <c r="K54" s="77">
        <f t="shared" si="6"/>
        <v>340740.74074074073</v>
      </c>
      <c r="L54" s="77" t="e">
        <f t="shared" si="6"/>
        <v>#DIV/0!</v>
      </c>
      <c r="M54" s="77" t="e">
        <f t="shared" si="6"/>
        <v>#DIV/0!</v>
      </c>
      <c r="N54" s="77" t="e">
        <f t="shared" si="6"/>
        <v>#DIV/0!</v>
      </c>
      <c r="O54" s="77" t="e">
        <f t="shared" si="6"/>
        <v>#DIV/0!</v>
      </c>
      <c r="P54" s="77" t="e">
        <f t="shared" si="6"/>
        <v>#DIV/0!</v>
      </c>
    </row>
  </sheetData>
  <conditionalFormatting sqref="E49:P49 E11:P11 E7:P7 E34:P34">
    <cfRule type="cellIs" priority="1" dxfId="0" operator="equal" stopIfTrue="1">
      <formula>1000000</formula>
    </cfRule>
  </conditionalFormatting>
  <conditionalFormatting sqref="E19:P19 E15:P15">
    <cfRule type="cellIs" priority="2" dxfId="1" operator="greaterThan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0"/>
  <sheetViews>
    <sheetView workbookViewId="0" topLeftCell="A1">
      <selection activeCell="E26" sqref="E26"/>
    </sheetView>
  </sheetViews>
  <sheetFormatPr defaultColWidth="9.140625" defaultRowHeight="12.75"/>
  <cols>
    <col min="1" max="1" width="4.140625" style="10" customWidth="1"/>
    <col min="2" max="2" width="9.421875" style="12" bestFit="1" customWidth="1"/>
    <col min="3" max="3" width="51.421875" style="10" customWidth="1"/>
    <col min="4" max="4" width="9.140625" style="10" customWidth="1"/>
    <col min="5" max="5" width="14.00390625" style="10" bestFit="1" customWidth="1"/>
    <col min="6" max="6" width="13.421875" style="10" bestFit="1" customWidth="1"/>
    <col min="7" max="7" width="10.57421875" style="10" bestFit="1" customWidth="1"/>
    <col min="8" max="8" width="13.421875" style="10" bestFit="1" customWidth="1"/>
    <col min="9" max="9" width="9.28125" style="10" customWidth="1"/>
    <col min="10" max="10" width="14.00390625" style="10" bestFit="1" customWidth="1"/>
    <col min="11" max="11" width="11.8515625" style="10" bestFit="1" customWidth="1"/>
    <col min="12" max="16" width="11.57421875" style="10" bestFit="1" customWidth="1"/>
    <col min="17" max="16384" width="9.140625" style="10" customWidth="1"/>
  </cols>
  <sheetData>
    <row r="2" spans="2:16" s="9" customFormat="1" ht="15.75">
      <c r="B2" s="13"/>
      <c r="C2" s="80" t="s">
        <v>115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</row>
    <row r="3" spans="2:16" s="9" customFormat="1" ht="15.75">
      <c r="B3" s="13"/>
      <c r="C3" s="80" t="s">
        <v>118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</row>
    <row r="4" ht="4.5" customHeight="1" thickBot="1"/>
    <row r="5" spans="4:16" ht="12.75">
      <c r="D5" s="10" t="s">
        <v>14</v>
      </c>
      <c r="E5" s="2">
        <v>270</v>
      </c>
      <c r="F5" s="3">
        <v>275</v>
      </c>
      <c r="G5" s="3">
        <v>280</v>
      </c>
      <c r="H5" s="3">
        <v>285</v>
      </c>
      <c r="I5" s="3">
        <v>290</v>
      </c>
      <c r="J5" s="3">
        <v>292</v>
      </c>
      <c r="K5" s="3">
        <v>295</v>
      </c>
      <c r="L5" s="3"/>
      <c r="M5" s="3"/>
      <c r="N5" s="3"/>
      <c r="O5" s="3"/>
      <c r="P5" s="4"/>
    </row>
    <row r="6" spans="4:16" ht="13.5" thickBot="1">
      <c r="D6" s="10" t="s">
        <v>15</v>
      </c>
      <c r="E6" s="5">
        <v>300</v>
      </c>
      <c r="F6" s="6">
        <v>300</v>
      </c>
      <c r="G6" s="6">
        <v>300</v>
      </c>
      <c r="H6" s="6">
        <v>300</v>
      </c>
      <c r="I6" s="6">
        <v>300</v>
      </c>
      <c r="J6" s="6">
        <v>300</v>
      </c>
      <c r="K6" s="6">
        <v>300</v>
      </c>
      <c r="L6" s="6"/>
      <c r="M6" s="6"/>
      <c r="N6" s="6"/>
      <c r="O6" s="6"/>
      <c r="P6" s="7"/>
    </row>
    <row r="7" spans="1:16" ht="13.5" thickBot="1">
      <c r="A7" s="11" t="s">
        <v>16</v>
      </c>
      <c r="B7" s="8">
        <v>0.95</v>
      </c>
      <c r="C7" s="9" t="s">
        <v>25</v>
      </c>
      <c r="E7" s="14">
        <f aca="true" t="shared" si="0" ref="E7:P7">IF(E5&lt;=$B7*E6,(($B7*E6)-E5)/($B7*E6)*1000000,0)</f>
        <v>52631.57894736842</v>
      </c>
      <c r="F7" s="14">
        <f t="shared" si="0"/>
        <v>35087.71929824561</v>
      </c>
      <c r="G7" s="14">
        <f t="shared" si="0"/>
        <v>17543.859649122805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 t="e">
        <f t="shared" si="0"/>
        <v>#DIV/0!</v>
      </c>
      <c r="M7" s="14" t="e">
        <f t="shared" si="0"/>
        <v>#DIV/0!</v>
      </c>
      <c r="N7" s="14" t="e">
        <f t="shared" si="0"/>
        <v>#DIV/0!</v>
      </c>
      <c r="O7" s="14" t="e">
        <f t="shared" si="0"/>
        <v>#DIV/0!</v>
      </c>
      <c r="P7" s="14" t="e">
        <f t="shared" si="0"/>
        <v>#DIV/0!</v>
      </c>
    </row>
    <row r="8" ht="5.25" customHeight="1" thickBot="1"/>
    <row r="9" spans="4:16" ht="12.75">
      <c r="D9" s="10" t="s">
        <v>14</v>
      </c>
      <c r="E9" s="2">
        <v>96</v>
      </c>
      <c r="F9" s="3">
        <v>99</v>
      </c>
      <c r="G9" s="3">
        <v>95</v>
      </c>
      <c r="H9" s="3">
        <v>98</v>
      </c>
      <c r="I9" s="3">
        <v>97</v>
      </c>
      <c r="J9" s="3">
        <v>93</v>
      </c>
      <c r="K9" s="3">
        <v>95</v>
      </c>
      <c r="L9" s="3"/>
      <c r="M9" s="3"/>
      <c r="N9" s="3"/>
      <c r="O9" s="3"/>
      <c r="P9" s="4"/>
    </row>
    <row r="10" spans="4:16" ht="13.5" thickBot="1">
      <c r="D10" s="10" t="s">
        <v>15</v>
      </c>
      <c r="E10" s="5">
        <v>100</v>
      </c>
      <c r="F10" s="6">
        <v>100</v>
      </c>
      <c r="G10" s="6">
        <v>100</v>
      </c>
      <c r="H10" s="6">
        <v>100</v>
      </c>
      <c r="I10" s="6">
        <v>100</v>
      </c>
      <c r="J10" s="6">
        <v>100</v>
      </c>
      <c r="K10" s="6">
        <v>100</v>
      </c>
      <c r="L10" s="6"/>
      <c r="M10" s="6"/>
      <c r="N10" s="6"/>
      <c r="O10" s="6"/>
      <c r="P10" s="7"/>
    </row>
    <row r="11" spans="1:16" ht="13.5" thickBot="1">
      <c r="A11" s="11" t="s">
        <v>16</v>
      </c>
      <c r="B11" s="8">
        <v>0.95</v>
      </c>
      <c r="C11" s="9" t="s">
        <v>26</v>
      </c>
      <c r="E11" s="14">
        <f aca="true" t="shared" si="1" ref="E11:P11">IF(E9&lt;=$B11*E10,(($B11*E10)-E9)/($B11*E10)*1000000,0)</f>
        <v>0</v>
      </c>
      <c r="F11" s="14">
        <f t="shared" si="1"/>
        <v>0</v>
      </c>
      <c r="G11" s="14">
        <f t="shared" si="1"/>
        <v>0</v>
      </c>
      <c r="H11" s="14">
        <f t="shared" si="1"/>
        <v>0</v>
      </c>
      <c r="I11" s="14">
        <f t="shared" si="1"/>
        <v>0</v>
      </c>
      <c r="J11" s="14">
        <f t="shared" si="1"/>
        <v>21052.631578947367</v>
      </c>
      <c r="K11" s="14">
        <f t="shared" si="1"/>
        <v>0</v>
      </c>
      <c r="L11" s="14" t="e">
        <f t="shared" si="1"/>
        <v>#DIV/0!</v>
      </c>
      <c r="M11" s="14" t="e">
        <f t="shared" si="1"/>
        <v>#DIV/0!</v>
      </c>
      <c r="N11" s="14" t="e">
        <f t="shared" si="1"/>
        <v>#DIV/0!</v>
      </c>
      <c r="O11" s="14" t="e">
        <f t="shared" si="1"/>
        <v>#DIV/0!</v>
      </c>
      <c r="P11" s="14" t="e">
        <f t="shared" si="1"/>
        <v>#DIV/0!</v>
      </c>
    </row>
    <row r="12" ht="6.75" customHeight="1" thickBot="1"/>
    <row r="13" spans="4:16" ht="12.75">
      <c r="D13" s="10" t="s">
        <v>14</v>
      </c>
      <c r="E13" s="2">
        <v>100</v>
      </c>
      <c r="F13" s="3">
        <v>96</v>
      </c>
      <c r="G13" s="3">
        <v>99</v>
      </c>
      <c r="H13" s="3">
        <v>94</v>
      </c>
      <c r="I13" s="3">
        <v>95</v>
      </c>
      <c r="J13" s="3">
        <v>94</v>
      </c>
      <c r="K13" s="3">
        <v>97</v>
      </c>
      <c r="L13" s="3"/>
      <c r="M13" s="3"/>
      <c r="N13" s="3"/>
      <c r="O13" s="3"/>
      <c r="P13" s="4"/>
    </row>
    <row r="14" spans="4:16" ht="13.5" thickBot="1">
      <c r="D14" s="10" t="s">
        <v>15</v>
      </c>
      <c r="E14" s="5">
        <v>100</v>
      </c>
      <c r="F14" s="6">
        <v>100</v>
      </c>
      <c r="G14" s="6">
        <v>100</v>
      </c>
      <c r="H14" s="6">
        <v>100</v>
      </c>
      <c r="I14" s="6">
        <v>100</v>
      </c>
      <c r="J14" s="6">
        <v>100</v>
      </c>
      <c r="K14" s="6">
        <v>100</v>
      </c>
      <c r="L14" s="6"/>
      <c r="M14" s="6"/>
      <c r="N14" s="6"/>
      <c r="O14" s="6"/>
      <c r="P14" s="7"/>
    </row>
    <row r="15" spans="1:16" ht="13.5" thickBot="1">
      <c r="A15" s="11" t="s">
        <v>16</v>
      </c>
      <c r="B15" s="8">
        <v>0.95</v>
      </c>
      <c r="C15" s="9" t="s">
        <v>27</v>
      </c>
      <c r="E15" s="14">
        <f aca="true" t="shared" si="2" ref="E15:P15">IF(E13&lt;=$B15*E14,(($B15*E14)-E13)/($B15*E14)*1000000,0)</f>
        <v>0</v>
      </c>
      <c r="F15" s="14">
        <f t="shared" si="2"/>
        <v>0</v>
      </c>
      <c r="G15" s="14">
        <f t="shared" si="2"/>
        <v>0</v>
      </c>
      <c r="H15" s="14">
        <f t="shared" si="2"/>
        <v>10526.315789473683</v>
      </c>
      <c r="I15" s="14">
        <f t="shared" si="2"/>
        <v>0</v>
      </c>
      <c r="J15" s="14">
        <f t="shared" si="2"/>
        <v>10526.315789473683</v>
      </c>
      <c r="K15" s="14">
        <f t="shared" si="2"/>
        <v>0</v>
      </c>
      <c r="L15" s="14" t="e">
        <f t="shared" si="2"/>
        <v>#DIV/0!</v>
      </c>
      <c r="M15" s="14" t="e">
        <f t="shared" si="2"/>
        <v>#DIV/0!</v>
      </c>
      <c r="N15" s="14" t="e">
        <f t="shared" si="2"/>
        <v>#DIV/0!</v>
      </c>
      <c r="O15" s="14" t="e">
        <f t="shared" si="2"/>
        <v>#DIV/0!</v>
      </c>
      <c r="P15" s="14" t="e">
        <f t="shared" si="2"/>
        <v>#DIV/0!</v>
      </c>
    </row>
    <row r="16" ht="6.75" customHeight="1" thickBot="1"/>
    <row r="17" spans="4:16" ht="12.75">
      <c r="D17" s="10" t="s">
        <v>14</v>
      </c>
      <c r="E17" s="2">
        <v>0</v>
      </c>
      <c r="F17" s="3">
        <v>1</v>
      </c>
      <c r="G17" s="3">
        <v>1</v>
      </c>
      <c r="H17" s="3">
        <v>0</v>
      </c>
      <c r="I17" s="3">
        <v>1</v>
      </c>
      <c r="J17" s="3">
        <v>1</v>
      </c>
      <c r="K17" s="3">
        <v>0</v>
      </c>
      <c r="L17" s="3"/>
      <c r="M17" s="3"/>
      <c r="N17" s="3"/>
      <c r="O17" s="3"/>
      <c r="P17" s="4"/>
    </row>
    <row r="18" spans="4:16" ht="13.5" thickBot="1">
      <c r="D18" s="10" t="s">
        <v>15</v>
      </c>
      <c r="E18" s="5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/>
      <c r="M18" s="6"/>
      <c r="N18" s="6"/>
      <c r="O18" s="6"/>
      <c r="P18" s="7"/>
    </row>
    <row r="19" spans="1:16" ht="13.5" thickBot="1">
      <c r="A19" s="11" t="s">
        <v>16</v>
      </c>
      <c r="B19" s="8">
        <v>1</v>
      </c>
      <c r="C19" s="9" t="s">
        <v>30</v>
      </c>
      <c r="E19" s="14">
        <f>IF(E17/(E18*$B19)&lt;1,1000000,0)</f>
        <v>1000000</v>
      </c>
      <c r="F19" s="14">
        <f>IF(F17/(F18*$B19)&lt;1,1000000,0)</f>
        <v>0</v>
      </c>
      <c r="G19" s="14">
        <f>IF(G17/(G18*$B19)&lt;1,1000000,0)</f>
        <v>0</v>
      </c>
      <c r="H19" s="14">
        <f>IF(H17/(H18*$B19)&lt;1,1000000,0)</f>
        <v>1000000</v>
      </c>
      <c r="I19" s="14">
        <f>IF(I17/(I18*$B19)&lt;1,1000000,0)</f>
        <v>0</v>
      </c>
      <c r="J19" s="14">
        <f aca="true" t="shared" si="3" ref="J19:P19">IF(J17/(J18*$B19)&lt;1,1000000,0)</f>
        <v>0</v>
      </c>
      <c r="K19" s="14">
        <f t="shared" si="3"/>
        <v>1000000</v>
      </c>
      <c r="L19" s="14" t="e">
        <f t="shared" si="3"/>
        <v>#DIV/0!</v>
      </c>
      <c r="M19" s="14" t="e">
        <f t="shared" si="3"/>
        <v>#DIV/0!</v>
      </c>
      <c r="N19" s="14" t="e">
        <f t="shared" si="3"/>
        <v>#DIV/0!</v>
      </c>
      <c r="O19" s="14" t="e">
        <f t="shared" si="3"/>
        <v>#DIV/0!</v>
      </c>
      <c r="P19" s="14" t="e">
        <f t="shared" si="3"/>
        <v>#DIV/0!</v>
      </c>
    </row>
    <row r="20" ht="9" customHeight="1" thickBot="1"/>
    <row r="21" spans="4:16" ht="12.75">
      <c r="D21" s="10" t="s">
        <v>14</v>
      </c>
      <c r="E21" s="2">
        <v>1</v>
      </c>
      <c r="F21" s="3">
        <v>12</v>
      </c>
      <c r="G21" s="3">
        <v>10</v>
      </c>
      <c r="H21" s="3">
        <v>9</v>
      </c>
      <c r="I21" s="3">
        <v>10</v>
      </c>
      <c r="J21" s="3">
        <v>12</v>
      </c>
      <c r="K21" s="3">
        <v>10</v>
      </c>
      <c r="L21" s="3"/>
      <c r="M21" s="3"/>
      <c r="N21" s="3"/>
      <c r="O21" s="3"/>
      <c r="P21" s="4"/>
    </row>
    <row r="22" spans="4:16" ht="13.5" thickBot="1">
      <c r="D22" s="10" t="s">
        <v>15</v>
      </c>
      <c r="E22" s="5">
        <v>100</v>
      </c>
      <c r="F22" s="6">
        <v>550</v>
      </c>
      <c r="G22" s="6">
        <v>500</v>
      </c>
      <c r="H22" s="6">
        <v>500</v>
      </c>
      <c r="I22" s="6">
        <v>550</v>
      </c>
      <c r="J22" s="6">
        <v>550</v>
      </c>
      <c r="K22" s="6">
        <v>500</v>
      </c>
      <c r="L22" s="6"/>
      <c r="M22" s="6"/>
      <c r="N22" s="6"/>
      <c r="O22" s="6"/>
      <c r="P22" s="7"/>
    </row>
    <row r="23" spans="1:16" ht="13.5" thickBot="1">
      <c r="A23" s="11" t="s">
        <v>28</v>
      </c>
      <c r="B23" s="8">
        <v>0.02</v>
      </c>
      <c r="C23" s="9" t="s">
        <v>29</v>
      </c>
      <c r="E23" s="14">
        <f>IF(E21/(E22*$B23)&gt;1,1000000,0)</f>
        <v>0</v>
      </c>
      <c r="F23" s="14">
        <f aca="true" t="shared" si="4" ref="F23:P23">IF(F21/(F22*$B23)&gt;1,1000000,0)</f>
        <v>1000000</v>
      </c>
      <c r="G23" s="14">
        <f t="shared" si="4"/>
        <v>0</v>
      </c>
      <c r="H23" s="14">
        <f t="shared" si="4"/>
        <v>0</v>
      </c>
      <c r="I23" s="14">
        <f t="shared" si="4"/>
        <v>0</v>
      </c>
      <c r="J23" s="14">
        <f t="shared" si="4"/>
        <v>1000000</v>
      </c>
      <c r="K23" s="14">
        <f t="shared" si="4"/>
        <v>0</v>
      </c>
      <c r="L23" s="14" t="e">
        <f t="shared" si="4"/>
        <v>#DIV/0!</v>
      </c>
      <c r="M23" s="14" t="e">
        <f t="shared" si="4"/>
        <v>#DIV/0!</v>
      </c>
      <c r="N23" s="14" t="e">
        <f t="shared" si="4"/>
        <v>#DIV/0!</v>
      </c>
      <c r="O23" s="14" t="e">
        <f t="shared" si="4"/>
        <v>#DIV/0!</v>
      </c>
      <c r="P23" s="14" t="e">
        <f t="shared" si="4"/>
        <v>#DIV/0!</v>
      </c>
    </row>
    <row r="26" spans="3:16" ht="12.75">
      <c r="C26" s="9" t="s">
        <v>31</v>
      </c>
      <c r="E26" s="15">
        <f aca="true" t="shared" si="5" ref="E26:P26">AVERAGE(E23,E19,E15,E11,E7)</f>
        <v>210526.31578947365</v>
      </c>
      <c r="F26" s="15">
        <f t="shared" si="5"/>
        <v>207017.54385964913</v>
      </c>
      <c r="G26" s="15">
        <f t="shared" si="5"/>
        <v>3508.771929824561</v>
      </c>
      <c r="H26" s="15">
        <f t="shared" si="5"/>
        <v>202105.26315789475</v>
      </c>
      <c r="I26" s="15">
        <f t="shared" si="5"/>
        <v>0</v>
      </c>
      <c r="J26" s="15">
        <f t="shared" si="5"/>
        <v>206315.7894736842</v>
      </c>
      <c r="K26" s="15">
        <f t="shared" si="5"/>
        <v>200000</v>
      </c>
      <c r="L26" s="15" t="e">
        <f t="shared" si="5"/>
        <v>#DIV/0!</v>
      </c>
      <c r="M26" s="15" t="e">
        <f t="shared" si="5"/>
        <v>#DIV/0!</v>
      </c>
      <c r="N26" s="15" t="e">
        <f t="shared" si="5"/>
        <v>#DIV/0!</v>
      </c>
      <c r="O26" s="15" t="e">
        <f t="shared" si="5"/>
        <v>#DIV/0!</v>
      </c>
      <c r="P26" s="15" t="e">
        <f t="shared" si="5"/>
        <v>#DIV/0!</v>
      </c>
    </row>
    <row r="28" spans="2:3" s="27" customFormat="1" ht="11.25">
      <c r="B28" s="30"/>
      <c r="C28" s="27" t="s">
        <v>32</v>
      </c>
    </row>
    <row r="29" spans="2:3" s="27" customFormat="1" ht="11.25">
      <c r="B29" s="30"/>
      <c r="C29" s="27" t="s">
        <v>34</v>
      </c>
    </row>
    <row r="30" spans="2:3" s="27" customFormat="1" ht="11.25">
      <c r="B30" s="30"/>
      <c r="C30" s="27" t="s">
        <v>33</v>
      </c>
    </row>
    <row r="33" ht="6" customHeight="1"/>
  </sheetData>
  <conditionalFormatting sqref="E19:P19 E23:P23">
    <cfRule type="cellIs" priority="1" dxfId="0" operator="equal" stopIfTrue="1">
      <formula>1000000</formula>
    </cfRule>
  </conditionalFormatting>
  <conditionalFormatting sqref="E7:P7 E11:P11 E15:P15">
    <cfRule type="cellIs" priority="2" dxfId="1" operator="between" stopIfTrue="1">
      <formula>0.00001</formula>
      <formula>49999.999</formula>
    </cfRule>
    <cfRule type="cellIs" priority="3" dxfId="0" operator="greaterThanOrEqual" stopIfTrue="1">
      <formula>50000</formula>
    </cfRule>
    <cfRule type="cellIs" priority="4" dxfId="2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Q51"/>
  <sheetViews>
    <sheetView workbookViewId="0" topLeftCell="A1">
      <selection activeCell="G69" sqref="G69"/>
    </sheetView>
  </sheetViews>
  <sheetFormatPr defaultColWidth="9.140625" defaultRowHeight="12.75"/>
  <cols>
    <col min="1" max="1" width="4.140625" style="10" customWidth="1"/>
    <col min="2" max="2" width="9.140625" style="12" customWidth="1"/>
    <col min="3" max="3" width="57.8515625" style="10" customWidth="1"/>
    <col min="4" max="4" width="9.140625" style="10" customWidth="1"/>
    <col min="5" max="5" width="11.8515625" style="10" bestFit="1" customWidth="1"/>
    <col min="6" max="6" width="10.28125" style="10" bestFit="1" customWidth="1"/>
    <col min="7" max="8" width="9.28125" style="10" bestFit="1" customWidth="1"/>
    <col min="9" max="9" width="9.28125" style="10" customWidth="1"/>
    <col min="10" max="16" width="9.28125" style="10" bestFit="1" customWidth="1"/>
    <col min="17" max="16384" width="9.140625" style="10" customWidth="1"/>
  </cols>
  <sheetData>
    <row r="2" spans="2:16" s="9" customFormat="1" ht="15.75">
      <c r="B2" s="13"/>
      <c r="C2" s="80" t="s">
        <v>115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</row>
    <row r="3" spans="2:16" s="9" customFormat="1" ht="15.75">
      <c r="B3" s="13"/>
      <c r="C3" s="80" t="s">
        <v>120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</row>
    <row r="4" ht="4.5" customHeight="1" thickBot="1"/>
    <row r="5" spans="3:17" ht="13.5" thickBot="1">
      <c r="C5" s="10" t="s">
        <v>119</v>
      </c>
      <c r="D5" s="16"/>
      <c r="E5" s="18">
        <v>120</v>
      </c>
      <c r="F5" s="19">
        <v>124</v>
      </c>
      <c r="G5" s="19">
        <v>123</v>
      </c>
      <c r="H5" s="19">
        <v>122</v>
      </c>
      <c r="I5" s="19">
        <v>121</v>
      </c>
      <c r="J5" s="19">
        <v>120</v>
      </c>
      <c r="K5" s="19">
        <v>122</v>
      </c>
      <c r="L5" s="19"/>
      <c r="M5" s="19"/>
      <c r="N5" s="19"/>
      <c r="O5" s="19"/>
      <c r="P5" s="20"/>
      <c r="Q5" s="16"/>
    </row>
    <row r="6" spans="4:17" ht="6.75" customHeight="1" thickBot="1"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3:17" ht="12.75">
      <c r="C7" s="10" t="s">
        <v>35</v>
      </c>
      <c r="D7" s="16"/>
      <c r="E7" s="2">
        <v>2</v>
      </c>
      <c r="F7" s="3">
        <v>3</v>
      </c>
      <c r="G7" s="3">
        <v>1</v>
      </c>
      <c r="H7" s="3">
        <v>0</v>
      </c>
      <c r="I7" s="3">
        <v>0</v>
      </c>
      <c r="J7" s="3">
        <v>1</v>
      </c>
      <c r="K7" s="3">
        <v>0</v>
      </c>
      <c r="L7" s="3"/>
      <c r="M7" s="3"/>
      <c r="N7" s="3"/>
      <c r="O7" s="3"/>
      <c r="P7" s="4"/>
      <c r="Q7" s="16"/>
    </row>
    <row r="8" spans="3:17" ht="12.75">
      <c r="C8" s="10" t="s">
        <v>36</v>
      </c>
      <c r="D8" s="16"/>
      <c r="E8" s="21">
        <v>0</v>
      </c>
      <c r="F8" s="1">
        <v>1</v>
      </c>
      <c r="G8" s="1">
        <v>0</v>
      </c>
      <c r="H8" s="1">
        <v>0</v>
      </c>
      <c r="I8" s="1">
        <v>1</v>
      </c>
      <c r="J8" s="1">
        <v>1</v>
      </c>
      <c r="K8" s="1">
        <v>0</v>
      </c>
      <c r="L8" s="1"/>
      <c r="M8" s="1"/>
      <c r="N8" s="1"/>
      <c r="O8" s="1"/>
      <c r="P8" s="22"/>
      <c r="Q8" s="16"/>
    </row>
    <row r="9" spans="3:17" ht="13.5" thickBot="1">
      <c r="C9" s="10" t="s">
        <v>37</v>
      </c>
      <c r="D9" s="16"/>
      <c r="E9" s="5">
        <v>0</v>
      </c>
      <c r="F9" s="6">
        <v>2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/>
      <c r="M9" s="6"/>
      <c r="N9" s="6"/>
      <c r="O9" s="6"/>
      <c r="P9" s="7"/>
      <c r="Q9" s="16"/>
    </row>
    <row r="10" spans="3:17" ht="12.75">
      <c r="C10" s="10" t="s">
        <v>38</v>
      </c>
      <c r="D10" s="16"/>
      <c r="E10" s="17">
        <f>IF(E9&gt;0,0,Cost!E5+D10)</f>
        <v>4204</v>
      </c>
      <c r="F10" s="17">
        <f>IF(F9&gt;0,0,Cost!F5+E10)</f>
        <v>0</v>
      </c>
      <c r="G10" s="17">
        <f>IF(G9&gt;0,0,Cost!G5+F10)</f>
        <v>4104</v>
      </c>
      <c r="H10" s="17">
        <f>IF(H9&gt;0,0,Cost!H5+G10)</f>
        <v>8108</v>
      </c>
      <c r="I10" s="17">
        <f>IF(I9&gt;0,0,Cost!I5+H10)</f>
        <v>12112</v>
      </c>
      <c r="J10" s="17">
        <f>IF(J9&gt;0,0,Cost!J5+I10)</f>
        <v>16116</v>
      </c>
      <c r="K10" s="17">
        <f>IF(K9&gt;0,0,Cost!K5+J10)</f>
        <v>20120</v>
      </c>
      <c r="L10" s="17">
        <f>IF(L9&gt;0,0,Cost!L5+K10)</f>
        <v>20120</v>
      </c>
      <c r="M10" s="17">
        <f>IF(M9&gt;0,0,Cost!M5+L10)</f>
        <v>20120</v>
      </c>
      <c r="N10" s="17">
        <f>IF(N9&gt;0,0,Cost!N5+M10)</f>
        <v>20120</v>
      </c>
      <c r="O10" s="17">
        <f>IF(O9&gt;0,0,Cost!O5+N10)</f>
        <v>20120</v>
      </c>
      <c r="P10" s="17">
        <f>IF(P9&gt;0,0,Cost!P5+O10)</f>
        <v>20120</v>
      </c>
      <c r="Q10" s="16"/>
    </row>
    <row r="11" spans="1:16" s="16" customFormat="1" ht="12.75">
      <c r="A11" s="23"/>
      <c r="B11" s="24"/>
      <c r="C11" s="25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2:16" s="16" customFormat="1" ht="12.75">
      <c r="B12" s="26"/>
      <c r="C12" s="25" t="s">
        <v>39</v>
      </c>
      <c r="E12" s="29">
        <f>E9*1000000</f>
        <v>0</v>
      </c>
      <c r="F12" s="29">
        <f>F9*1000000</f>
        <v>2000000</v>
      </c>
      <c r="G12" s="29">
        <f>G9*1000000</f>
        <v>0</v>
      </c>
      <c r="H12" s="29">
        <f aca="true" t="shared" si="0" ref="H12:P12">H9*1000000</f>
        <v>0</v>
      </c>
      <c r="I12" s="29">
        <f t="shared" si="0"/>
        <v>0</v>
      </c>
      <c r="J12" s="29">
        <f t="shared" si="0"/>
        <v>0</v>
      </c>
      <c r="K12" s="29">
        <f t="shared" si="0"/>
        <v>0</v>
      </c>
      <c r="L12" s="29">
        <f t="shared" si="0"/>
        <v>0</v>
      </c>
      <c r="M12" s="29">
        <f t="shared" si="0"/>
        <v>0</v>
      </c>
      <c r="N12" s="29">
        <f t="shared" si="0"/>
        <v>0</v>
      </c>
      <c r="O12" s="29">
        <f t="shared" si="0"/>
        <v>0</v>
      </c>
      <c r="P12" s="29">
        <f t="shared" si="0"/>
        <v>0</v>
      </c>
    </row>
    <row r="13" s="16" customFormat="1" ht="5.25" customHeight="1" thickBot="1">
      <c r="B13" s="26"/>
    </row>
    <row r="14" spans="2:16" s="16" customFormat="1" ht="13.5" thickBot="1">
      <c r="B14" s="26"/>
      <c r="D14" s="10" t="s">
        <v>14</v>
      </c>
      <c r="E14" s="18">
        <v>113</v>
      </c>
      <c r="F14" s="19">
        <v>114</v>
      </c>
      <c r="G14" s="19">
        <v>114</v>
      </c>
      <c r="H14" s="19">
        <v>114</v>
      </c>
      <c r="I14" s="19">
        <v>116</v>
      </c>
      <c r="J14" s="19">
        <v>117</v>
      </c>
      <c r="K14" s="19">
        <v>118</v>
      </c>
      <c r="L14" s="19"/>
      <c r="M14" s="19"/>
      <c r="N14" s="19"/>
      <c r="O14" s="19"/>
      <c r="P14" s="20"/>
    </row>
    <row r="15" spans="4:17" ht="13.5" thickBot="1">
      <c r="D15" s="10" t="s">
        <v>15</v>
      </c>
      <c r="E15" s="16">
        <f>E$5</f>
        <v>120</v>
      </c>
      <c r="F15" s="16">
        <f aca="true" t="shared" si="1" ref="F15:P15">F$5</f>
        <v>124</v>
      </c>
      <c r="G15" s="16">
        <f t="shared" si="1"/>
        <v>123</v>
      </c>
      <c r="H15" s="16">
        <f t="shared" si="1"/>
        <v>122</v>
      </c>
      <c r="I15" s="16">
        <f t="shared" si="1"/>
        <v>121</v>
      </c>
      <c r="J15" s="16">
        <f t="shared" si="1"/>
        <v>120</v>
      </c>
      <c r="K15" s="16">
        <f t="shared" si="1"/>
        <v>122</v>
      </c>
      <c r="L15" s="16">
        <f t="shared" si="1"/>
        <v>0</v>
      </c>
      <c r="M15" s="16">
        <f t="shared" si="1"/>
        <v>0</v>
      </c>
      <c r="N15" s="16">
        <f t="shared" si="1"/>
        <v>0</v>
      </c>
      <c r="O15" s="16">
        <f t="shared" si="1"/>
        <v>0</v>
      </c>
      <c r="P15" s="16">
        <f t="shared" si="1"/>
        <v>0</v>
      </c>
      <c r="Q15" s="16"/>
    </row>
    <row r="16" spans="1:17" ht="13.5" thickBot="1">
      <c r="A16" s="11" t="s">
        <v>16</v>
      </c>
      <c r="B16" s="8">
        <v>0.95</v>
      </c>
      <c r="C16" s="9" t="s">
        <v>40</v>
      </c>
      <c r="D16" s="16"/>
      <c r="E16" s="14">
        <f aca="true" t="shared" si="2" ref="E16:P16">IF(E14&lt;=$B16*E15,(($B16*E15)-E14)/($B16*E15)*1000000,0)</f>
        <v>8771.929824561403</v>
      </c>
      <c r="F16" s="14">
        <f t="shared" si="2"/>
        <v>32258.064516129012</v>
      </c>
      <c r="G16" s="14">
        <f t="shared" si="2"/>
        <v>24390.243902438975</v>
      </c>
      <c r="H16" s="14">
        <f t="shared" si="2"/>
        <v>16393.442622950748</v>
      </c>
      <c r="I16" s="14">
        <f t="shared" si="2"/>
        <v>0</v>
      </c>
      <c r="J16" s="14">
        <f t="shared" si="2"/>
        <v>0</v>
      </c>
      <c r="K16" s="14">
        <f t="shared" si="2"/>
        <v>0</v>
      </c>
      <c r="L16" s="14" t="e">
        <f t="shared" si="2"/>
        <v>#DIV/0!</v>
      </c>
      <c r="M16" s="14" t="e">
        <f t="shared" si="2"/>
        <v>#DIV/0!</v>
      </c>
      <c r="N16" s="14" t="e">
        <f t="shared" si="2"/>
        <v>#DIV/0!</v>
      </c>
      <c r="O16" s="14" t="e">
        <f t="shared" si="2"/>
        <v>#DIV/0!</v>
      </c>
      <c r="P16" s="14" t="e">
        <f t="shared" si="2"/>
        <v>#DIV/0!</v>
      </c>
      <c r="Q16" s="16"/>
    </row>
    <row r="17" spans="4:17" ht="6.75" customHeight="1" thickBot="1"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4:17" ht="13.5" thickBot="1">
      <c r="D18" s="10" t="s">
        <v>14</v>
      </c>
      <c r="E18" s="18">
        <v>117</v>
      </c>
      <c r="F18" s="19">
        <v>115</v>
      </c>
      <c r="G18" s="19">
        <v>116</v>
      </c>
      <c r="H18" s="19">
        <v>116</v>
      </c>
      <c r="I18" s="19">
        <v>116</v>
      </c>
      <c r="J18" s="19">
        <v>118</v>
      </c>
      <c r="K18" s="19">
        <v>119</v>
      </c>
      <c r="L18" s="19"/>
      <c r="M18" s="19"/>
      <c r="N18" s="19"/>
      <c r="O18" s="19"/>
      <c r="P18" s="20"/>
      <c r="Q18" s="16"/>
    </row>
    <row r="19" spans="4:17" ht="13.5" thickBot="1">
      <c r="D19" s="10" t="s">
        <v>15</v>
      </c>
      <c r="E19" s="16">
        <f>E$5</f>
        <v>120</v>
      </c>
      <c r="F19" s="16">
        <f aca="true" t="shared" si="3" ref="F19:P19">F$5</f>
        <v>124</v>
      </c>
      <c r="G19" s="16">
        <f t="shared" si="3"/>
        <v>123</v>
      </c>
      <c r="H19" s="16">
        <f t="shared" si="3"/>
        <v>122</v>
      </c>
      <c r="I19" s="16">
        <f t="shared" si="3"/>
        <v>121</v>
      </c>
      <c r="J19" s="16">
        <f t="shared" si="3"/>
        <v>120</v>
      </c>
      <c r="K19" s="16">
        <f t="shared" si="3"/>
        <v>122</v>
      </c>
      <c r="L19" s="16">
        <f t="shared" si="3"/>
        <v>0</v>
      </c>
      <c r="M19" s="16">
        <f t="shared" si="3"/>
        <v>0</v>
      </c>
      <c r="N19" s="16">
        <f t="shared" si="3"/>
        <v>0</v>
      </c>
      <c r="O19" s="16">
        <f t="shared" si="3"/>
        <v>0</v>
      </c>
      <c r="P19" s="16">
        <f t="shared" si="3"/>
        <v>0</v>
      </c>
      <c r="Q19" s="16"/>
    </row>
    <row r="20" spans="1:17" ht="13.5" thickBot="1">
      <c r="A20" s="11" t="s">
        <v>16</v>
      </c>
      <c r="B20" s="8">
        <v>0.95</v>
      </c>
      <c r="C20" s="9" t="s">
        <v>41</v>
      </c>
      <c r="D20" s="16"/>
      <c r="E20" s="14">
        <f aca="true" t="shared" si="4" ref="E20:P20">IF(E18&lt;=$B20*E19,(($B20*E19)-E18)/($B20*E19)*1000000,0)</f>
        <v>0</v>
      </c>
      <c r="F20" s="14">
        <f t="shared" si="4"/>
        <v>23769.100169779264</v>
      </c>
      <c r="G20" s="14">
        <f t="shared" si="4"/>
        <v>7274.283269148433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 t="e">
        <f t="shared" si="4"/>
        <v>#DIV/0!</v>
      </c>
      <c r="M20" s="14" t="e">
        <f t="shared" si="4"/>
        <v>#DIV/0!</v>
      </c>
      <c r="N20" s="14" t="e">
        <f t="shared" si="4"/>
        <v>#DIV/0!</v>
      </c>
      <c r="O20" s="14" t="e">
        <f t="shared" si="4"/>
        <v>#DIV/0!</v>
      </c>
      <c r="P20" s="14" t="e">
        <f t="shared" si="4"/>
        <v>#DIV/0!</v>
      </c>
      <c r="Q20" s="16"/>
    </row>
    <row r="21" spans="4:17" ht="6.75" customHeight="1" thickBot="1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4:17" ht="13.5" thickBot="1">
      <c r="D22" s="10" t="s">
        <v>14</v>
      </c>
      <c r="E22" s="18">
        <v>114</v>
      </c>
      <c r="F22" s="19">
        <v>115</v>
      </c>
      <c r="G22" s="19">
        <v>115</v>
      </c>
      <c r="H22" s="19">
        <v>115</v>
      </c>
      <c r="I22" s="19">
        <v>116</v>
      </c>
      <c r="J22" s="19">
        <v>118</v>
      </c>
      <c r="K22" s="19">
        <v>119</v>
      </c>
      <c r="L22" s="19"/>
      <c r="M22" s="19"/>
      <c r="N22" s="19"/>
      <c r="O22" s="19"/>
      <c r="P22" s="20"/>
      <c r="Q22" s="16"/>
    </row>
    <row r="23" spans="4:17" ht="13.5" thickBot="1">
      <c r="D23" s="10" t="s">
        <v>15</v>
      </c>
      <c r="E23" s="16">
        <f>E$5</f>
        <v>120</v>
      </c>
      <c r="F23" s="16">
        <f aca="true" t="shared" si="5" ref="F23:P23">F$5</f>
        <v>124</v>
      </c>
      <c r="G23" s="16">
        <f t="shared" si="5"/>
        <v>123</v>
      </c>
      <c r="H23" s="16">
        <f t="shared" si="5"/>
        <v>122</v>
      </c>
      <c r="I23" s="16">
        <f t="shared" si="5"/>
        <v>121</v>
      </c>
      <c r="J23" s="16">
        <f t="shared" si="5"/>
        <v>120</v>
      </c>
      <c r="K23" s="16">
        <f t="shared" si="5"/>
        <v>122</v>
      </c>
      <c r="L23" s="16">
        <f t="shared" si="5"/>
        <v>0</v>
      </c>
      <c r="M23" s="16">
        <f t="shared" si="5"/>
        <v>0</v>
      </c>
      <c r="N23" s="16">
        <f t="shared" si="5"/>
        <v>0</v>
      </c>
      <c r="O23" s="16">
        <f t="shared" si="5"/>
        <v>0</v>
      </c>
      <c r="P23" s="16">
        <f t="shared" si="5"/>
        <v>0</v>
      </c>
      <c r="Q23" s="16"/>
    </row>
    <row r="24" spans="1:17" ht="13.5" thickBot="1">
      <c r="A24" s="11" t="s">
        <v>16</v>
      </c>
      <c r="B24" s="8">
        <v>0.95</v>
      </c>
      <c r="C24" s="9" t="s">
        <v>42</v>
      </c>
      <c r="D24" s="16"/>
      <c r="E24" s="14">
        <f aca="true" t="shared" si="6" ref="E24:P24">IF(E22&lt;=$B24*E23,(($B24*E23)-E22)/($B24*E23)*1000000,0)</f>
        <v>0</v>
      </c>
      <c r="F24" s="14">
        <f t="shared" si="6"/>
        <v>23769.100169779264</v>
      </c>
      <c r="G24" s="14">
        <f t="shared" si="6"/>
        <v>15832.263585793704</v>
      </c>
      <c r="H24" s="14">
        <f t="shared" si="6"/>
        <v>7765.314926660842</v>
      </c>
      <c r="I24" s="14">
        <f t="shared" si="6"/>
        <v>0</v>
      </c>
      <c r="J24" s="14">
        <f t="shared" si="6"/>
        <v>0</v>
      </c>
      <c r="K24" s="14">
        <f t="shared" si="6"/>
        <v>0</v>
      </c>
      <c r="L24" s="14" t="e">
        <f t="shared" si="6"/>
        <v>#DIV/0!</v>
      </c>
      <c r="M24" s="14" t="e">
        <f t="shared" si="6"/>
        <v>#DIV/0!</v>
      </c>
      <c r="N24" s="14" t="e">
        <f t="shared" si="6"/>
        <v>#DIV/0!</v>
      </c>
      <c r="O24" s="14" t="e">
        <f t="shared" si="6"/>
        <v>#DIV/0!</v>
      </c>
      <c r="P24" s="14" t="e">
        <f t="shared" si="6"/>
        <v>#DIV/0!</v>
      </c>
      <c r="Q24" s="16"/>
    </row>
    <row r="25" spans="4:17" ht="7.5" customHeight="1" thickBot="1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4:17" ht="12.75">
      <c r="D26" s="10" t="s">
        <v>14</v>
      </c>
      <c r="E26" s="2">
        <v>11</v>
      </c>
      <c r="F26" s="3">
        <v>11</v>
      </c>
      <c r="G26" s="3">
        <v>12</v>
      </c>
      <c r="H26" s="3">
        <v>12</v>
      </c>
      <c r="I26" s="3">
        <v>12</v>
      </c>
      <c r="J26" s="3">
        <v>12</v>
      </c>
      <c r="K26" s="3">
        <v>12</v>
      </c>
      <c r="L26" s="3"/>
      <c r="M26" s="3"/>
      <c r="N26" s="3"/>
      <c r="O26" s="3"/>
      <c r="P26" s="4"/>
      <c r="Q26" s="16"/>
    </row>
    <row r="27" spans="4:17" ht="13.5" thickBot="1">
      <c r="D27" s="10" t="s">
        <v>15</v>
      </c>
      <c r="E27" s="5">
        <v>11</v>
      </c>
      <c r="F27" s="6">
        <v>12</v>
      </c>
      <c r="G27" s="6">
        <v>12</v>
      </c>
      <c r="H27" s="6">
        <v>12</v>
      </c>
      <c r="I27" s="6">
        <v>12</v>
      </c>
      <c r="J27" s="6">
        <v>12</v>
      </c>
      <c r="K27" s="6">
        <v>12</v>
      </c>
      <c r="L27" s="6"/>
      <c r="M27" s="6"/>
      <c r="N27" s="6"/>
      <c r="O27" s="6"/>
      <c r="P27" s="7"/>
      <c r="Q27" s="16"/>
    </row>
    <row r="28" spans="1:17" ht="13.5" thickBot="1">
      <c r="A28" s="11" t="s">
        <v>16</v>
      </c>
      <c r="B28" s="8">
        <v>0.95</v>
      </c>
      <c r="C28" s="9" t="s">
        <v>27</v>
      </c>
      <c r="E28" s="14">
        <f aca="true" t="shared" si="7" ref="E28:P28">IF(E26&lt;=$B28*E27,(($B28*E27)-E26)/($B28*E27)*1000000,0)</f>
        <v>0</v>
      </c>
      <c r="F28" s="14">
        <f t="shared" si="7"/>
        <v>35087.719298245494</v>
      </c>
      <c r="G28" s="14">
        <f t="shared" si="7"/>
        <v>0</v>
      </c>
      <c r="H28" s="14">
        <f t="shared" si="7"/>
        <v>0</v>
      </c>
      <c r="I28" s="14">
        <f t="shared" si="7"/>
        <v>0</v>
      </c>
      <c r="J28" s="14">
        <f t="shared" si="7"/>
        <v>0</v>
      </c>
      <c r="K28" s="14">
        <f t="shared" si="7"/>
        <v>0</v>
      </c>
      <c r="L28" s="14" t="e">
        <f t="shared" si="7"/>
        <v>#DIV/0!</v>
      </c>
      <c r="M28" s="14" t="e">
        <f t="shared" si="7"/>
        <v>#DIV/0!</v>
      </c>
      <c r="N28" s="14" t="e">
        <f t="shared" si="7"/>
        <v>#DIV/0!</v>
      </c>
      <c r="O28" s="14" t="e">
        <f t="shared" si="7"/>
        <v>#DIV/0!</v>
      </c>
      <c r="P28" s="14" t="e">
        <f t="shared" si="7"/>
        <v>#DIV/0!</v>
      </c>
      <c r="Q28" s="16"/>
    </row>
    <row r="29" spans="4:17" ht="8.25" customHeight="1" thickBot="1"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4:17" ht="12.75">
      <c r="D30" s="10" t="s">
        <v>14</v>
      </c>
      <c r="E30" s="2">
        <v>11</v>
      </c>
      <c r="F30" s="3">
        <v>11</v>
      </c>
      <c r="G30" s="3">
        <v>12</v>
      </c>
      <c r="H30" s="3">
        <v>13</v>
      </c>
      <c r="I30" s="3">
        <v>13</v>
      </c>
      <c r="J30" s="3">
        <v>13</v>
      </c>
      <c r="K30" s="3">
        <v>15</v>
      </c>
      <c r="L30" s="3"/>
      <c r="M30" s="3"/>
      <c r="N30" s="3"/>
      <c r="O30" s="3"/>
      <c r="P30" s="4"/>
      <c r="Q30" s="16"/>
    </row>
    <row r="31" spans="4:17" ht="13.5" thickBot="1">
      <c r="D31" s="10" t="s">
        <v>15</v>
      </c>
      <c r="E31" s="5">
        <v>12</v>
      </c>
      <c r="F31" s="6">
        <v>12</v>
      </c>
      <c r="G31" s="6">
        <v>12</v>
      </c>
      <c r="H31" s="6">
        <v>13</v>
      </c>
      <c r="I31" s="6">
        <v>13</v>
      </c>
      <c r="J31" s="6">
        <v>14</v>
      </c>
      <c r="K31" s="6">
        <v>15</v>
      </c>
      <c r="L31" s="6"/>
      <c r="M31" s="6"/>
      <c r="N31" s="6"/>
      <c r="O31" s="6"/>
      <c r="P31" s="7"/>
      <c r="Q31" s="16"/>
    </row>
    <row r="32" spans="1:17" ht="13.5" thickBot="1">
      <c r="A32" s="11" t="s">
        <v>16</v>
      </c>
      <c r="B32" s="8">
        <v>1</v>
      </c>
      <c r="C32" s="9" t="s">
        <v>43</v>
      </c>
      <c r="E32" s="14">
        <f aca="true" t="shared" si="8" ref="E32:P32">IF(E30&lt;=$B32*E31,(($B32*E31)-E30)/($B32*E31)*1000000,0)</f>
        <v>83333.33333333333</v>
      </c>
      <c r="F32" s="14">
        <f t="shared" si="8"/>
        <v>83333.33333333333</v>
      </c>
      <c r="G32" s="14">
        <f t="shared" si="8"/>
        <v>0</v>
      </c>
      <c r="H32" s="14">
        <f t="shared" si="8"/>
        <v>0</v>
      </c>
      <c r="I32" s="14">
        <f t="shared" si="8"/>
        <v>0</v>
      </c>
      <c r="J32" s="14">
        <f t="shared" si="8"/>
        <v>71428.57142857142</v>
      </c>
      <c r="K32" s="14">
        <f t="shared" si="8"/>
        <v>0</v>
      </c>
      <c r="L32" s="14" t="e">
        <f t="shared" si="8"/>
        <v>#DIV/0!</v>
      </c>
      <c r="M32" s="14" t="e">
        <f t="shared" si="8"/>
        <v>#DIV/0!</v>
      </c>
      <c r="N32" s="14" t="e">
        <f t="shared" si="8"/>
        <v>#DIV/0!</v>
      </c>
      <c r="O32" s="14" t="e">
        <f t="shared" si="8"/>
        <v>#DIV/0!</v>
      </c>
      <c r="P32" s="14" t="e">
        <f t="shared" si="8"/>
        <v>#DIV/0!</v>
      </c>
      <c r="Q32" s="16"/>
    </row>
    <row r="33" spans="4:17" ht="5.25" customHeight="1" thickBot="1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4:17" ht="12.75">
      <c r="D34" s="10" t="s">
        <v>14</v>
      </c>
      <c r="E34" s="2">
        <v>11</v>
      </c>
      <c r="F34" s="3">
        <v>12</v>
      </c>
      <c r="G34" s="3">
        <v>12</v>
      </c>
      <c r="H34" s="3">
        <v>12</v>
      </c>
      <c r="I34" s="3">
        <v>12</v>
      </c>
      <c r="J34" s="3">
        <v>14</v>
      </c>
      <c r="K34" s="3">
        <v>15</v>
      </c>
      <c r="L34" s="3"/>
      <c r="M34" s="3"/>
      <c r="N34" s="3"/>
      <c r="O34" s="3"/>
      <c r="P34" s="4"/>
      <c r="Q34" s="16"/>
    </row>
    <row r="35" spans="4:17" ht="13.5" thickBot="1">
      <c r="D35" s="10" t="s">
        <v>15</v>
      </c>
      <c r="E35" s="5">
        <v>11</v>
      </c>
      <c r="F35" s="6">
        <v>12</v>
      </c>
      <c r="G35" s="6">
        <v>12</v>
      </c>
      <c r="H35" s="6">
        <v>13</v>
      </c>
      <c r="I35" s="6">
        <v>13</v>
      </c>
      <c r="J35" s="6">
        <v>14</v>
      </c>
      <c r="K35" s="6">
        <v>15</v>
      </c>
      <c r="L35" s="6"/>
      <c r="M35" s="6"/>
      <c r="N35" s="6"/>
      <c r="O35" s="6"/>
      <c r="P35" s="7"/>
      <c r="Q35" s="16"/>
    </row>
    <row r="36" spans="1:17" ht="13.5" thickBot="1">
      <c r="A36" s="11" t="s">
        <v>16</v>
      </c>
      <c r="B36" s="8">
        <v>0.98</v>
      </c>
      <c r="C36" s="9" t="s">
        <v>44</v>
      </c>
      <c r="E36" s="14">
        <f aca="true" t="shared" si="9" ref="E36:P36">IF(E34&lt;=$B36*E35,(($B36*E35)-E34)/($B36*E35)*1000000,0)</f>
        <v>0</v>
      </c>
      <c r="F36" s="14">
        <f t="shared" si="9"/>
        <v>0</v>
      </c>
      <c r="G36" s="14">
        <f t="shared" si="9"/>
        <v>0</v>
      </c>
      <c r="H36" s="14">
        <f t="shared" si="9"/>
        <v>58084.772370486666</v>
      </c>
      <c r="I36" s="14">
        <f t="shared" si="9"/>
        <v>58084.772370486666</v>
      </c>
      <c r="J36" s="14">
        <f t="shared" si="9"/>
        <v>0</v>
      </c>
      <c r="K36" s="14">
        <f t="shared" si="9"/>
        <v>0</v>
      </c>
      <c r="L36" s="14" t="e">
        <f t="shared" si="9"/>
        <v>#DIV/0!</v>
      </c>
      <c r="M36" s="14" t="e">
        <f t="shared" si="9"/>
        <v>#DIV/0!</v>
      </c>
      <c r="N36" s="14" t="e">
        <f t="shared" si="9"/>
        <v>#DIV/0!</v>
      </c>
      <c r="O36" s="14" t="e">
        <f t="shared" si="9"/>
        <v>#DIV/0!</v>
      </c>
      <c r="P36" s="14" t="e">
        <f t="shared" si="9"/>
        <v>#DIV/0!</v>
      </c>
      <c r="Q36" s="16"/>
    </row>
    <row r="37" spans="4:17" ht="5.25" customHeight="1" thickBot="1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4:16" ht="12.75">
      <c r="D38" s="10" t="s">
        <v>14</v>
      </c>
      <c r="E38" s="2">
        <v>1</v>
      </c>
      <c r="F38" s="3">
        <v>0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/>
      <c r="M38" s="3"/>
      <c r="N38" s="3"/>
      <c r="O38" s="3"/>
      <c r="P38" s="4"/>
    </row>
    <row r="39" spans="4:16" ht="13.5" thickBot="1">
      <c r="D39" s="10" t="s">
        <v>15</v>
      </c>
      <c r="E39" s="5">
        <v>1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6"/>
      <c r="M39" s="6"/>
      <c r="N39" s="6"/>
      <c r="O39" s="6"/>
      <c r="P39" s="7"/>
    </row>
    <row r="40" spans="1:16" ht="13.5" thickBot="1">
      <c r="A40" s="11" t="s">
        <v>16</v>
      </c>
      <c r="B40" s="8">
        <v>1</v>
      </c>
      <c r="C40" s="9" t="s">
        <v>45</v>
      </c>
      <c r="E40" s="14">
        <f>IF(E38/(E39*$B40)&lt;1,1000000,0)</f>
        <v>0</v>
      </c>
      <c r="F40" s="14">
        <f>IF(F38/(F39*$B40)&lt;1,1000000,0)</f>
        <v>1000000</v>
      </c>
      <c r="G40" s="14">
        <f>IF(G38/(G39*$B40)&lt;1,1000000,0)</f>
        <v>0</v>
      </c>
      <c r="H40" s="14">
        <f>IF(H38/(H39*$B40)&lt;1,1000000,0)</f>
        <v>0</v>
      </c>
      <c r="I40" s="14">
        <f>IF(I38/(I39*$B40)&lt;1,1000000,0)</f>
        <v>0</v>
      </c>
      <c r="J40" s="14">
        <f aca="true" t="shared" si="10" ref="J40:P40">IF(J38/(J39*$B40)&lt;1,1000000,0)</f>
        <v>0</v>
      </c>
      <c r="K40" s="14">
        <f t="shared" si="10"/>
        <v>0</v>
      </c>
      <c r="L40" s="14" t="e">
        <f t="shared" si="10"/>
        <v>#DIV/0!</v>
      </c>
      <c r="M40" s="14" t="e">
        <f t="shared" si="10"/>
        <v>#DIV/0!</v>
      </c>
      <c r="N40" s="14" t="e">
        <f t="shared" si="10"/>
        <v>#DIV/0!</v>
      </c>
      <c r="O40" s="14" t="e">
        <f t="shared" si="10"/>
        <v>#DIV/0!</v>
      </c>
      <c r="P40" s="14" t="e">
        <f t="shared" si="10"/>
        <v>#DIV/0!</v>
      </c>
    </row>
    <row r="41" spans="4:17" ht="13.5" thickBot="1"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4:16" ht="12.75">
      <c r="D42" s="10" t="s">
        <v>14</v>
      </c>
      <c r="E42" s="2">
        <v>0</v>
      </c>
      <c r="F42" s="3">
        <v>0</v>
      </c>
      <c r="G42" s="3">
        <v>0</v>
      </c>
      <c r="H42" s="3">
        <v>0</v>
      </c>
      <c r="I42" s="3">
        <v>1</v>
      </c>
      <c r="J42" s="3">
        <v>1</v>
      </c>
      <c r="K42" s="3">
        <v>1</v>
      </c>
      <c r="L42" s="3"/>
      <c r="M42" s="3"/>
      <c r="N42" s="3"/>
      <c r="O42" s="3"/>
      <c r="P42" s="4"/>
    </row>
    <row r="43" spans="4:16" ht="13.5" thickBot="1">
      <c r="D43" s="10" t="s">
        <v>15</v>
      </c>
      <c r="E43" s="5">
        <v>1</v>
      </c>
      <c r="F43" s="6">
        <v>1</v>
      </c>
      <c r="G43" s="6">
        <v>1</v>
      </c>
      <c r="H43" s="6">
        <v>1</v>
      </c>
      <c r="I43" s="6">
        <v>1</v>
      </c>
      <c r="J43" s="6">
        <v>1</v>
      </c>
      <c r="K43" s="6">
        <v>1</v>
      </c>
      <c r="L43" s="6"/>
      <c r="M43" s="6"/>
      <c r="N43" s="6"/>
      <c r="O43" s="6"/>
      <c r="P43" s="7"/>
    </row>
    <row r="44" spans="1:16" ht="13.5" thickBot="1">
      <c r="A44" s="11" t="s">
        <v>16</v>
      </c>
      <c r="B44" s="8">
        <v>1</v>
      </c>
      <c r="C44" s="9" t="s">
        <v>46</v>
      </c>
      <c r="E44" s="14">
        <f aca="true" t="shared" si="11" ref="E44:P44">IF(E42/(E43*$B44)&lt;1,1000000,0)</f>
        <v>1000000</v>
      </c>
      <c r="F44" s="14">
        <f t="shared" si="11"/>
        <v>1000000</v>
      </c>
      <c r="G44" s="14">
        <f t="shared" si="11"/>
        <v>1000000</v>
      </c>
      <c r="H44" s="14">
        <f t="shared" si="11"/>
        <v>1000000</v>
      </c>
      <c r="I44" s="14">
        <f t="shared" si="11"/>
        <v>0</v>
      </c>
      <c r="J44" s="14">
        <f t="shared" si="11"/>
        <v>0</v>
      </c>
      <c r="K44" s="14">
        <f t="shared" si="11"/>
        <v>0</v>
      </c>
      <c r="L44" s="14" t="e">
        <f t="shared" si="11"/>
        <v>#DIV/0!</v>
      </c>
      <c r="M44" s="14" t="e">
        <f t="shared" si="11"/>
        <v>#DIV/0!</v>
      </c>
      <c r="N44" s="14" t="e">
        <f t="shared" si="11"/>
        <v>#DIV/0!</v>
      </c>
      <c r="O44" s="14" t="e">
        <f t="shared" si="11"/>
        <v>#DIV/0!</v>
      </c>
      <c r="P44" s="14" t="e">
        <f t="shared" si="11"/>
        <v>#DIV/0!</v>
      </c>
    </row>
    <row r="45" spans="4:17" ht="12.75"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4:17" ht="12.75"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3:17" ht="12.75">
      <c r="C47" s="9" t="s">
        <v>48</v>
      </c>
      <c r="D47" s="16"/>
      <c r="E47" s="28">
        <f aca="true" t="shared" si="12" ref="E47:P47">AVERAGE(E44,E40,E36,E32,E28,E24,E20,E16,E12)</f>
        <v>121345.02923976607</v>
      </c>
      <c r="F47" s="28">
        <f t="shared" si="12"/>
        <v>466468.5908319184</v>
      </c>
      <c r="G47" s="28">
        <f t="shared" si="12"/>
        <v>116388.53230637568</v>
      </c>
      <c r="H47" s="28">
        <f t="shared" si="12"/>
        <v>120249.28110223316</v>
      </c>
      <c r="I47" s="28">
        <f t="shared" si="12"/>
        <v>6453.863596720741</v>
      </c>
      <c r="J47" s="28">
        <f t="shared" si="12"/>
        <v>7936.5079365079355</v>
      </c>
      <c r="K47" s="28">
        <f t="shared" si="12"/>
        <v>0</v>
      </c>
      <c r="L47" s="28" t="e">
        <f t="shared" si="12"/>
        <v>#DIV/0!</v>
      </c>
      <c r="M47" s="28" t="e">
        <f t="shared" si="12"/>
        <v>#DIV/0!</v>
      </c>
      <c r="N47" s="28" t="e">
        <f t="shared" si="12"/>
        <v>#DIV/0!</v>
      </c>
      <c r="O47" s="28" t="e">
        <f t="shared" si="12"/>
        <v>#DIV/0!</v>
      </c>
      <c r="P47" s="28" t="e">
        <f t="shared" si="12"/>
        <v>#DIV/0!</v>
      </c>
      <c r="Q47" s="16"/>
    </row>
    <row r="48" spans="4:17" ht="12.75"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3:17" ht="12.75">
      <c r="C49" s="27" t="s">
        <v>47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4:17" ht="12.75"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4:17" ht="12.75"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3" ht="6" customHeight="1"/>
  </sheetData>
  <conditionalFormatting sqref="E11:P11 E16:P16 E20:P20 E24:P24 E28:P28 E32:P32 E36:P36">
    <cfRule type="cellIs" priority="1" dxfId="1" operator="between" stopIfTrue="1">
      <formula>0.00001</formula>
      <formula>49999.999</formula>
    </cfRule>
    <cfRule type="cellIs" priority="2" dxfId="0" operator="greaterThanOrEqual" stopIfTrue="1">
      <formula>50000</formula>
    </cfRule>
    <cfRule type="cellIs" priority="3" dxfId="2" operator="equal" stopIfTrue="1">
      <formula>0</formula>
    </cfRule>
  </conditionalFormatting>
  <conditionalFormatting sqref="E40:P40 E44:P44">
    <cfRule type="cellIs" priority="4" dxfId="0" operator="equal" stopIfTrue="1">
      <formula>1000000</formula>
    </cfRule>
  </conditionalFormatting>
  <conditionalFormatting sqref="E12:P12">
    <cfRule type="cellIs" priority="5" dxfId="0" operator="greaterThanOrEqual" stopIfTrue="1">
      <formula>1000000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G14" sqref="G14"/>
    </sheetView>
  </sheetViews>
  <sheetFormatPr defaultColWidth="9.140625" defaultRowHeight="12.75"/>
  <cols>
    <col min="1" max="1" width="4.28125" style="10" customWidth="1"/>
    <col min="2" max="2" width="9.28125" style="10" bestFit="1" customWidth="1"/>
    <col min="3" max="3" width="48.421875" style="10" bestFit="1" customWidth="1"/>
    <col min="4" max="4" width="9.140625" style="10" customWidth="1"/>
    <col min="5" max="5" width="10.421875" style="10" bestFit="1" customWidth="1"/>
    <col min="6" max="6" width="10.140625" style="10" bestFit="1" customWidth="1"/>
    <col min="7" max="7" width="10.421875" style="10" bestFit="1" customWidth="1"/>
    <col min="8" max="11" width="9.28125" style="10" bestFit="1" customWidth="1"/>
    <col min="12" max="12" width="11.57421875" style="10" bestFit="1" customWidth="1"/>
    <col min="13" max="16384" width="9.140625" style="10" customWidth="1"/>
  </cols>
  <sheetData>
    <row r="1" ht="12.75">
      <c r="B1" s="12"/>
    </row>
    <row r="2" spans="2:16" s="9" customFormat="1" ht="15.75">
      <c r="B2" s="13"/>
      <c r="C2" s="80" t="s">
        <v>115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</row>
    <row r="3" spans="2:16" s="9" customFormat="1" ht="15.75">
      <c r="B3" s="13"/>
      <c r="C3" s="80" t="s">
        <v>121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</row>
    <row r="4" ht="4.5" customHeight="1" thickBot="1">
      <c r="B4" s="12"/>
    </row>
    <row r="5" spans="2:16" ht="12.75">
      <c r="B5" s="12"/>
      <c r="D5" s="10" t="s">
        <v>14</v>
      </c>
      <c r="E5" s="2">
        <v>110</v>
      </c>
      <c r="F5" s="3">
        <v>110</v>
      </c>
      <c r="G5" s="3">
        <v>110</v>
      </c>
      <c r="H5" s="3">
        <v>115</v>
      </c>
      <c r="I5" s="3">
        <v>116</v>
      </c>
      <c r="J5" s="3">
        <v>116</v>
      </c>
      <c r="K5" s="3">
        <v>117</v>
      </c>
      <c r="L5" s="3"/>
      <c r="M5" s="3"/>
      <c r="N5" s="3"/>
      <c r="O5" s="3"/>
      <c r="P5" s="4"/>
    </row>
    <row r="6" spans="2:16" ht="13.5" thickBot="1">
      <c r="B6" s="12"/>
      <c r="D6" s="10" t="s">
        <v>15</v>
      </c>
      <c r="E6" s="5">
        <v>120</v>
      </c>
      <c r="F6" s="6">
        <v>124</v>
      </c>
      <c r="G6" s="6">
        <v>123</v>
      </c>
      <c r="H6" s="6">
        <v>122</v>
      </c>
      <c r="I6" s="6">
        <v>121</v>
      </c>
      <c r="J6" s="6">
        <v>120</v>
      </c>
      <c r="K6" s="6">
        <v>122</v>
      </c>
      <c r="L6" s="6"/>
      <c r="M6" s="6"/>
      <c r="N6" s="6"/>
      <c r="O6" s="6"/>
      <c r="P6" s="7"/>
    </row>
    <row r="7" spans="1:16" ht="13.5" thickBot="1">
      <c r="A7" s="11" t="s">
        <v>16</v>
      </c>
      <c r="B7" s="8">
        <v>0.95</v>
      </c>
      <c r="C7" s="9" t="s">
        <v>122</v>
      </c>
      <c r="E7" s="14">
        <f aca="true" t="shared" si="0" ref="E7:P7">IF(E5&lt;=$B7*E6,(($B7*E6)-E5)/($B7*E6)*1000000,0)</f>
        <v>35087.71929824561</v>
      </c>
      <c r="F7" s="14">
        <f t="shared" si="0"/>
        <v>66213.92190152798</v>
      </c>
      <c r="G7" s="14">
        <f t="shared" si="0"/>
        <v>58622.16516902007</v>
      </c>
      <c r="H7" s="14">
        <f t="shared" si="0"/>
        <v>7765.314926660842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 t="e">
        <f t="shared" si="0"/>
        <v>#DIV/0!</v>
      </c>
      <c r="M7" s="14" t="e">
        <f t="shared" si="0"/>
        <v>#DIV/0!</v>
      </c>
      <c r="N7" s="14" t="e">
        <f t="shared" si="0"/>
        <v>#DIV/0!</v>
      </c>
      <c r="O7" s="14" t="e">
        <f t="shared" si="0"/>
        <v>#DIV/0!</v>
      </c>
      <c r="P7" s="14" t="e">
        <f t="shared" si="0"/>
        <v>#DIV/0!</v>
      </c>
    </row>
    <row r="9" spans="3:16" ht="12.75">
      <c r="C9" s="9" t="s">
        <v>49</v>
      </c>
      <c r="E9" s="15">
        <f>AVERAGE(E7)</f>
        <v>35087.71929824561</v>
      </c>
      <c r="F9" s="15">
        <f aca="true" t="shared" si="1" ref="F9:P9">AVERAGE(F7)</f>
        <v>66213.92190152798</v>
      </c>
      <c r="G9" s="15">
        <f t="shared" si="1"/>
        <v>58622.16516902007</v>
      </c>
      <c r="H9" s="15">
        <f t="shared" si="1"/>
        <v>7765.314926660842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5" t="e">
        <f t="shared" si="1"/>
        <v>#DIV/0!</v>
      </c>
      <c r="M9" s="15" t="e">
        <f t="shared" si="1"/>
        <v>#DIV/0!</v>
      </c>
      <c r="N9" s="15" t="e">
        <f t="shared" si="1"/>
        <v>#DIV/0!</v>
      </c>
      <c r="O9" s="15" t="e">
        <f t="shared" si="1"/>
        <v>#DIV/0!</v>
      </c>
      <c r="P9" s="15" t="e">
        <f t="shared" si="1"/>
        <v>#DIV/0!</v>
      </c>
    </row>
  </sheetData>
  <conditionalFormatting sqref="E7:P7">
    <cfRule type="cellIs" priority="1" dxfId="1" operator="between" stopIfTrue="1">
      <formula>0.00001</formula>
      <formula>49999.999</formula>
    </cfRule>
    <cfRule type="cellIs" priority="2" dxfId="0" operator="greaterThanOrEqual" stopIfTrue="1">
      <formula>50000</formula>
    </cfRule>
    <cfRule type="cellIs" priority="3" dxfId="2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I40" sqref="I40"/>
    </sheetView>
  </sheetViews>
  <sheetFormatPr defaultColWidth="9.140625" defaultRowHeight="12.75"/>
  <cols>
    <col min="1" max="1" width="4.28125" style="10" customWidth="1"/>
    <col min="2" max="2" width="9.28125" style="10" bestFit="1" customWidth="1"/>
    <col min="3" max="3" width="51.28125" style="10" bestFit="1" customWidth="1"/>
    <col min="4" max="4" width="9.140625" style="10" customWidth="1"/>
    <col min="5" max="11" width="9.28125" style="10" bestFit="1" customWidth="1"/>
    <col min="12" max="12" width="11.57421875" style="10" bestFit="1" customWidth="1"/>
    <col min="13" max="16384" width="9.140625" style="10" customWidth="1"/>
  </cols>
  <sheetData>
    <row r="1" ht="12.75">
      <c r="B1" s="12"/>
    </row>
    <row r="2" spans="2:16" s="9" customFormat="1" ht="12.75">
      <c r="B2" s="13"/>
      <c r="C2" s="9" t="s">
        <v>113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</row>
    <row r="3" spans="2:16" s="9" customFormat="1" ht="12.75">
      <c r="B3" s="13"/>
      <c r="C3" s="9" t="s">
        <v>112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</row>
    <row r="4" ht="4.5" customHeight="1" thickBot="1">
      <c r="B4" s="12"/>
    </row>
    <row r="5" spans="2:16" ht="12.75">
      <c r="B5" s="12"/>
      <c r="D5" s="10" t="s">
        <v>14</v>
      </c>
      <c r="E5" s="2">
        <v>480</v>
      </c>
      <c r="F5" s="3">
        <v>480</v>
      </c>
      <c r="G5" s="3">
        <v>480</v>
      </c>
      <c r="H5" s="3">
        <v>480</v>
      </c>
      <c r="I5" s="3">
        <v>480</v>
      </c>
      <c r="J5" s="3">
        <v>480</v>
      </c>
      <c r="K5" s="3">
        <v>480</v>
      </c>
      <c r="L5" s="3"/>
      <c r="M5" s="3"/>
      <c r="N5" s="3"/>
      <c r="O5" s="3"/>
      <c r="P5" s="4"/>
    </row>
    <row r="6" spans="2:16" ht="13.5" thickBot="1">
      <c r="B6" s="12"/>
      <c r="D6" s="10" t="s">
        <v>15</v>
      </c>
      <c r="E6" s="5">
        <v>500</v>
      </c>
      <c r="F6" s="6">
        <v>500</v>
      </c>
      <c r="G6" s="6">
        <v>500</v>
      </c>
      <c r="H6" s="6">
        <v>500</v>
      </c>
      <c r="I6" s="6">
        <v>500</v>
      </c>
      <c r="J6" s="6">
        <v>500</v>
      </c>
      <c r="K6" s="6">
        <v>500</v>
      </c>
      <c r="L6" s="6"/>
      <c r="M6" s="6"/>
      <c r="N6" s="6"/>
      <c r="O6" s="6"/>
      <c r="P6" s="7"/>
    </row>
    <row r="7" spans="1:16" ht="13.5" thickBot="1">
      <c r="A7" s="11" t="s">
        <v>16</v>
      </c>
      <c r="B7" s="8">
        <v>0.95</v>
      </c>
      <c r="C7" s="9" t="s">
        <v>111</v>
      </c>
      <c r="E7" s="14">
        <f aca="true" t="shared" si="0" ref="E7:P7">IF(E5&lt;=$B7*E6,(($B7*E6)-E5)/($B7*E6)*1000000,0)</f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 t="e">
        <f t="shared" si="0"/>
        <v>#DIV/0!</v>
      </c>
      <c r="M7" s="14" t="e">
        <f t="shared" si="0"/>
        <v>#DIV/0!</v>
      </c>
      <c r="N7" s="14" t="e">
        <f t="shared" si="0"/>
        <v>#DIV/0!</v>
      </c>
      <c r="O7" s="14" t="e">
        <f t="shared" si="0"/>
        <v>#DIV/0!</v>
      </c>
      <c r="P7" s="14" t="e">
        <f t="shared" si="0"/>
        <v>#DIV/0!</v>
      </c>
    </row>
    <row r="8" ht="6.75" customHeight="1"/>
    <row r="9" spans="3:16" ht="12.75">
      <c r="C9" s="9" t="s">
        <v>50</v>
      </c>
      <c r="E9" s="15">
        <f>AVERAGE(E7)</f>
        <v>0</v>
      </c>
      <c r="F9" s="15">
        <f aca="true" t="shared" si="1" ref="F9:P9">AVERAGE(F7)</f>
        <v>0</v>
      </c>
      <c r="G9" s="15">
        <f t="shared" si="1"/>
        <v>0</v>
      </c>
      <c r="H9" s="15">
        <f t="shared" si="1"/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5" t="e">
        <f t="shared" si="1"/>
        <v>#DIV/0!</v>
      </c>
      <c r="M9" s="15" t="e">
        <f t="shared" si="1"/>
        <v>#DIV/0!</v>
      </c>
      <c r="N9" s="15" t="e">
        <f t="shared" si="1"/>
        <v>#DIV/0!</v>
      </c>
      <c r="O9" s="15" t="e">
        <f t="shared" si="1"/>
        <v>#DIV/0!</v>
      </c>
      <c r="P9" s="15" t="e">
        <f t="shared" si="1"/>
        <v>#DIV/0!</v>
      </c>
    </row>
  </sheetData>
  <conditionalFormatting sqref="E7:P7">
    <cfRule type="cellIs" priority="1" dxfId="1" operator="between" stopIfTrue="1">
      <formula>0.00001</formula>
      <formula>49999.999</formula>
    </cfRule>
    <cfRule type="cellIs" priority="2" dxfId="0" operator="greaterThanOrEqual" stopIfTrue="1">
      <formula>50000</formula>
    </cfRule>
    <cfRule type="cellIs" priority="3" dxfId="2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Executive Interims - Supply Chain Practice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Jones</dc:creator>
  <cp:keywords/>
  <dc:description/>
  <cp:lastModifiedBy>D Jones</cp:lastModifiedBy>
  <dcterms:created xsi:type="dcterms:W3CDTF">2009-02-06T10:00:33Z</dcterms:created>
  <dcterms:modified xsi:type="dcterms:W3CDTF">2009-08-04T20:26:43Z</dcterms:modified>
  <cp:category/>
  <cp:version/>
  <cp:contentType/>
  <cp:contentStatus/>
</cp:coreProperties>
</file>